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505" yWindow="165" windowWidth="11550" windowHeight="10395" tabRatio="868" activeTab="3"/>
  </bookViews>
  <sheets>
    <sheet name="Økonomi" sheetId="2195" r:id="rId1"/>
    <sheet name="Forudsætninger - bedrift" sheetId="5" r:id="rId2"/>
    <sheet name="Standard værdier" sheetId="2197" r:id="rId3"/>
    <sheet name="Beregninger uden" sheetId="2198" r:id="rId4"/>
    <sheet name="Beregninger med" sheetId="2199" r:id="rId5"/>
  </sheets>
  <definedNames>
    <definedName name="Faktor" localSheetId="4">#REF!</definedName>
    <definedName name="Faktor" localSheetId="3">#REF!</definedName>
    <definedName name="Faktor" localSheetId="2">#REF!</definedName>
    <definedName name="Faktor">#REF!</definedName>
    <definedName name="Opslag" localSheetId="4">#REF!</definedName>
    <definedName name="Opslag" localSheetId="3">#REF!</definedName>
    <definedName name="Opslag" localSheetId="2">#REF!</definedName>
    <definedName name="Opslag" localSheetId="0">#REF!</definedName>
    <definedName name="Opslag">#REF!</definedName>
    <definedName name="Salg_EL" localSheetId="4">'Beregninger med'!#REF!</definedName>
    <definedName name="Salg_EL" localSheetId="3">'Beregninger uden'!#REF!</definedName>
    <definedName name="Salg_EL" localSheetId="2">'Standard værdier'!#REF!</definedName>
    <definedName name="Salg_EL" localSheetId="0">Økonomi!#REF!</definedName>
    <definedName name="Salg_EL">'Forudsætninger - bedrift'!#REF!</definedName>
    <definedName name="_xlnm.Print_Area" localSheetId="4">'Beregninger med'!$A$6:$H$283</definedName>
    <definedName name="_xlnm.Print_Area" localSheetId="3">'Beregninger uden'!$A$6:$H$158</definedName>
    <definedName name="_xlnm.Print_Area" localSheetId="1">'Forudsætninger - bedrift'!$A$6:$H$182</definedName>
    <definedName name="_xlnm.Print_Area" localSheetId="2">'Standard værdier'!$A$6:$H$153</definedName>
    <definedName name="_xlnm.Print_Area" localSheetId="0">Økonomi!$A$6:$I$81</definedName>
    <definedName name="_xlnm.Print_Titles" localSheetId="4">'Beregninger med'!$2:$5</definedName>
    <definedName name="_xlnm.Print_Titles" localSheetId="3">'Beregninger uden'!$2:$5</definedName>
    <definedName name="_xlnm.Print_Titles" localSheetId="1">'Forudsætninger - bedrift'!$2:$5</definedName>
    <definedName name="_xlnm.Print_Titles" localSheetId="2">'Standard værdier'!$2:$5</definedName>
    <definedName name="_xlnm.Print_Titles" localSheetId="0">Økonomi!$2:$5</definedName>
  </definedNames>
  <calcPr calcId="145621"/>
</workbook>
</file>

<file path=xl/calcChain.xml><?xml version="1.0" encoding="utf-8"?>
<calcChain xmlns="http://schemas.openxmlformats.org/spreadsheetml/2006/main">
  <c r="K92" i="2197" l="1"/>
  <c r="K90" i="2197"/>
  <c r="K91" i="2197"/>
  <c r="F116" i="2198"/>
  <c r="E107" i="2198" s="1"/>
  <c r="E121" i="2199"/>
  <c r="B277" i="2199"/>
  <c r="E163" i="2199" l="1"/>
  <c r="F95" i="2198"/>
  <c r="F83" i="2198"/>
  <c r="B71" i="2198" l="1"/>
  <c r="B70" i="2198"/>
  <c r="D70" i="2198"/>
  <c r="J9" i="2197"/>
  <c r="J24" i="2197"/>
  <c r="J12" i="2197"/>
  <c r="J13" i="2197"/>
  <c r="J14" i="2197"/>
  <c r="J15" i="2197"/>
  <c r="J16" i="2197"/>
  <c r="J18" i="2197"/>
  <c r="J19" i="2197"/>
  <c r="J20" i="2197"/>
  <c r="J21" i="2197"/>
  <c r="J22" i="2197"/>
  <c r="J23" i="2197"/>
  <c r="J11" i="2197"/>
  <c r="C112" i="2199" l="1"/>
  <c r="J112" i="2199"/>
  <c r="F170" i="2199" l="1"/>
  <c r="G173" i="2199"/>
  <c r="G175" i="2199" s="1"/>
  <c r="G235" i="2199" l="1"/>
  <c r="G234" i="2199"/>
  <c r="G233" i="2199"/>
  <c r="G232" i="2199"/>
  <c r="G231" i="2199"/>
  <c r="G230" i="2199"/>
  <c r="G229" i="2199"/>
  <c r="C103" i="2199" l="1"/>
  <c r="H30" i="2195" s="1"/>
  <c r="G204" i="2199"/>
  <c r="H204" i="2199" s="1"/>
  <c r="G203" i="2199"/>
  <c r="H203" i="2199" s="1"/>
  <c r="G202" i="2199"/>
  <c r="G201" i="2199"/>
  <c r="F188" i="2199"/>
  <c r="C114" i="2199"/>
  <c r="C102" i="2199"/>
  <c r="H29" i="2195" s="1"/>
  <c r="G46" i="2199"/>
  <c r="F46" i="2199"/>
  <c r="E46" i="2199"/>
  <c r="D46" i="2199"/>
  <c r="G45" i="2199"/>
  <c r="F45" i="2199"/>
  <c r="E45" i="2199"/>
  <c r="D45" i="2199"/>
  <c r="G44" i="2199"/>
  <c r="F44" i="2199"/>
  <c r="E44" i="2199"/>
  <c r="D44" i="2199"/>
  <c r="G43" i="2199"/>
  <c r="F43" i="2199"/>
  <c r="E43" i="2199"/>
  <c r="D43" i="2199"/>
  <c r="G42" i="2199"/>
  <c r="F42" i="2199"/>
  <c r="E42" i="2199"/>
  <c r="D42" i="2199"/>
  <c r="G41" i="2199"/>
  <c r="F41" i="2199"/>
  <c r="E41" i="2199"/>
  <c r="D41" i="2199"/>
  <c r="G47" i="2199"/>
  <c r="F47" i="2199"/>
  <c r="E47" i="2199"/>
  <c r="D47" i="2199"/>
  <c r="F27" i="2199"/>
  <c r="E24" i="2199"/>
  <c r="D24" i="2199"/>
  <c r="E23" i="2199"/>
  <c r="E22" i="2199"/>
  <c r="E21" i="2199"/>
  <c r="E20" i="2199"/>
  <c r="E19" i="2199"/>
  <c r="E18" i="2199"/>
  <c r="G143" i="2198"/>
  <c r="G142" i="2198"/>
  <c r="G47" i="2198"/>
  <c r="F47" i="2198"/>
  <c r="E47" i="2198"/>
  <c r="D47" i="2198"/>
  <c r="G46" i="2198"/>
  <c r="F46" i="2198"/>
  <c r="E46" i="2198"/>
  <c r="D46" i="2198"/>
  <c r="G45" i="2198"/>
  <c r="F45" i="2198"/>
  <c r="E45" i="2198"/>
  <c r="D45" i="2198"/>
  <c r="G44" i="2198"/>
  <c r="F44" i="2198"/>
  <c r="E44" i="2198"/>
  <c r="D44" i="2198"/>
  <c r="G43" i="2198"/>
  <c r="F43" i="2198"/>
  <c r="E43" i="2198"/>
  <c r="D43" i="2198"/>
  <c r="G42" i="2198"/>
  <c r="F42" i="2198"/>
  <c r="E42" i="2198"/>
  <c r="D42" i="2198"/>
  <c r="G41" i="2198"/>
  <c r="F41" i="2198"/>
  <c r="E41" i="2198"/>
  <c r="D41" i="2198"/>
  <c r="E24" i="2198"/>
  <c r="D24" i="2198"/>
  <c r="F24" i="2198" s="1"/>
  <c r="E23" i="2198"/>
  <c r="E22" i="2198"/>
  <c r="E21" i="2198"/>
  <c r="E20" i="2198"/>
  <c r="E19" i="2198"/>
  <c r="D19" i="2198"/>
  <c r="F19" i="2198" s="1"/>
  <c r="E18" i="2198"/>
  <c r="H73" i="5"/>
  <c r="G73" i="5"/>
  <c r="F73" i="5"/>
  <c r="E73" i="5"/>
  <c r="G72" i="5"/>
  <c r="F72" i="5"/>
  <c r="E72" i="5"/>
  <c r="D23" i="2198" s="1"/>
  <c r="F23" i="2198" s="1"/>
  <c r="D65" i="2198" s="1"/>
  <c r="H65" i="2198" s="1"/>
  <c r="G54" i="5"/>
  <c r="E54" i="5"/>
  <c r="H53" i="5"/>
  <c r="F65" i="5"/>
  <c r="F64" i="5"/>
  <c r="F63" i="5"/>
  <c r="F62" i="5"/>
  <c r="F61" i="5"/>
  <c r="F60" i="5"/>
  <c r="F40" i="5"/>
  <c r="F39" i="5"/>
  <c r="F38" i="5"/>
  <c r="F37" i="5"/>
  <c r="F36" i="5"/>
  <c r="F35" i="5"/>
  <c r="F28" i="5"/>
  <c r="F27" i="5"/>
  <c r="F26" i="5"/>
  <c r="F25" i="5"/>
  <c r="F24" i="5"/>
  <c r="F23" i="5"/>
  <c r="H71" i="5"/>
  <c r="G71" i="5"/>
  <c r="G70" i="5"/>
  <c r="H69" i="5"/>
  <c r="G69" i="5"/>
  <c r="G68" i="5"/>
  <c r="H67" i="5"/>
  <c r="G67" i="5"/>
  <c r="F71" i="5"/>
  <c r="F70" i="5"/>
  <c r="F69" i="5"/>
  <c r="F68" i="5"/>
  <c r="F67" i="5"/>
  <c r="E71" i="5"/>
  <c r="D22" i="2199" s="1"/>
  <c r="E70" i="5"/>
  <c r="D21" i="2198" s="1"/>
  <c r="F21" i="2198" s="1"/>
  <c r="E69" i="5"/>
  <c r="D20" i="2199" s="1"/>
  <c r="E68" i="5"/>
  <c r="D19" i="2199" s="1"/>
  <c r="E67" i="5"/>
  <c r="D18" i="2198" s="1"/>
  <c r="F18" i="2198" s="1"/>
  <c r="H52" i="5"/>
  <c r="H72" i="5" s="1"/>
  <c r="H51" i="5"/>
  <c r="H50" i="5"/>
  <c r="H70" i="5" s="1"/>
  <c r="H49" i="5"/>
  <c r="H48" i="5"/>
  <c r="H68" i="5" s="1"/>
  <c r="H47" i="5"/>
  <c r="D146" i="2199"/>
  <c r="F14" i="2195"/>
  <c r="D22" i="2198" l="1"/>
  <c r="F22" i="2198" s="1"/>
  <c r="G64" i="2198" s="1"/>
  <c r="G90" i="2198" s="1"/>
  <c r="D18" i="2199"/>
  <c r="D21" i="2199"/>
  <c r="D23" i="2199"/>
  <c r="F23" i="2199" s="1"/>
  <c r="F65" i="2199" s="1"/>
  <c r="F90" i="2199" s="1"/>
  <c r="D20" i="2198"/>
  <c r="F20" i="2198" s="1"/>
  <c r="E62" i="2198" s="1"/>
  <c r="F22" i="2199"/>
  <c r="F64" i="2199" s="1"/>
  <c r="F89" i="2199" s="1"/>
  <c r="F20" i="2199"/>
  <c r="E62" i="2199" s="1"/>
  <c r="F24" i="2199"/>
  <c r="E66" i="2199" s="1"/>
  <c r="F19" i="2199"/>
  <c r="F61" i="2199" s="1"/>
  <c r="F86" i="2199" s="1"/>
  <c r="F21" i="2199"/>
  <c r="E63" i="2199" s="1"/>
  <c r="E63" i="2198"/>
  <c r="G62" i="2198"/>
  <c r="G88" i="2198" s="1"/>
  <c r="D66" i="2198"/>
  <c r="H66" i="2198" s="1"/>
  <c r="D63" i="2198"/>
  <c r="H63" i="2198" s="1"/>
  <c r="D60" i="2198"/>
  <c r="H60" i="2198" s="1"/>
  <c r="G66" i="2198"/>
  <c r="G92" i="2198" s="1"/>
  <c r="F66" i="2198"/>
  <c r="F92" i="2198" s="1"/>
  <c r="G61" i="2198"/>
  <c r="G87" i="2198" s="1"/>
  <c r="G63" i="2198"/>
  <c r="G89" i="2198" s="1"/>
  <c r="G65" i="2198"/>
  <c r="G91" i="2198" s="1"/>
  <c r="F61" i="2198"/>
  <c r="F87" i="2198" s="1"/>
  <c r="F65" i="2198"/>
  <c r="F91" i="2198" s="1"/>
  <c r="E66" i="2198"/>
  <c r="E65" i="2198"/>
  <c r="F64" i="2198"/>
  <c r="F90" i="2198" s="1"/>
  <c r="F63" i="2198"/>
  <c r="F89" i="2198" s="1"/>
  <c r="D61" i="2198"/>
  <c r="H61" i="2198" s="1"/>
  <c r="E61" i="2198"/>
  <c r="F60" i="2198"/>
  <c r="F86" i="2198" s="1"/>
  <c r="E60" i="2198"/>
  <c r="G60" i="2198"/>
  <c r="G86" i="2198" s="1"/>
  <c r="G145" i="2198"/>
  <c r="H145" i="2198" s="1"/>
  <c r="E260" i="2199"/>
  <c r="D260" i="2199"/>
  <c r="C260" i="2199"/>
  <c r="F142" i="2198" l="1"/>
  <c r="F30" i="2195" s="1"/>
  <c r="D64" i="2198"/>
  <c r="H64" i="2198" s="1"/>
  <c r="F143" i="2198"/>
  <c r="H143" i="2198" s="1"/>
  <c r="D62" i="2198"/>
  <c r="H62" i="2198" s="1"/>
  <c r="E64" i="2198"/>
  <c r="F233" i="2199"/>
  <c r="H233" i="2199" s="1"/>
  <c r="F235" i="2199"/>
  <c r="H235" i="2199" s="1"/>
  <c r="F229" i="2199"/>
  <c r="H229" i="2199" s="1"/>
  <c r="F234" i="2199"/>
  <c r="H234" i="2199" s="1"/>
  <c r="F62" i="2198"/>
  <c r="F88" i="2198" s="1"/>
  <c r="F201" i="2199"/>
  <c r="H201" i="2199" s="1"/>
  <c r="F18" i="2199"/>
  <c r="G103" i="2199" s="1"/>
  <c r="F230" i="2199"/>
  <c r="H230" i="2199" s="1"/>
  <c r="F231" i="2199"/>
  <c r="H231" i="2199" s="1"/>
  <c r="F202" i="2199"/>
  <c r="H202" i="2199" s="1"/>
  <c r="F232" i="2199"/>
  <c r="H232" i="2199" s="1"/>
  <c r="G60" i="2199"/>
  <c r="G85" i="2199" s="1"/>
  <c r="F103" i="2199"/>
  <c r="D103" i="2199"/>
  <c r="E60" i="2199"/>
  <c r="E61" i="2199"/>
  <c r="F62" i="2199"/>
  <c r="F87" i="2199" s="1"/>
  <c r="G64" i="2199"/>
  <c r="G89" i="2199" s="1"/>
  <c r="D65" i="2199"/>
  <c r="H65" i="2199" s="1"/>
  <c r="E65" i="2199"/>
  <c r="D60" i="2199"/>
  <c r="D66" i="2199"/>
  <c r="H66" i="2199" s="1"/>
  <c r="F63" i="2199"/>
  <c r="F88" i="2199" s="1"/>
  <c r="F66" i="2199"/>
  <c r="F91" i="2199" s="1"/>
  <c r="G63" i="2199"/>
  <c r="G88" i="2199" s="1"/>
  <c r="D63" i="2199"/>
  <c r="H63" i="2199" s="1"/>
  <c r="G66" i="2199"/>
  <c r="G91" i="2199" s="1"/>
  <c r="E64" i="2199"/>
  <c r="G61" i="2199"/>
  <c r="G86" i="2199" s="1"/>
  <c r="D62" i="2199"/>
  <c r="H62" i="2199" s="1"/>
  <c r="G62" i="2199"/>
  <c r="G87" i="2199" s="1"/>
  <c r="G65" i="2199"/>
  <c r="G90" i="2199" s="1"/>
  <c r="D61" i="2199"/>
  <c r="H61" i="2199" s="1"/>
  <c r="D64" i="2199"/>
  <c r="H64" i="2199" s="1"/>
  <c r="F260" i="2199"/>
  <c r="G260" i="2199" s="1"/>
  <c r="E5" i="2199"/>
  <c r="H4" i="2199"/>
  <c r="H4" i="2198"/>
  <c r="H4" i="2197"/>
  <c r="I4" i="2195"/>
  <c r="B5" i="2195"/>
  <c r="D279" i="2199"/>
  <c r="E268" i="2199"/>
  <c r="E259" i="2199"/>
  <c r="E258" i="2199"/>
  <c r="E257" i="2199"/>
  <c r="E256" i="2199"/>
  <c r="D256" i="2199"/>
  <c r="D257" i="2199"/>
  <c r="D258" i="2199"/>
  <c r="D259" i="2199"/>
  <c r="C259" i="2199"/>
  <c r="C258" i="2199"/>
  <c r="C257" i="2199"/>
  <c r="C256" i="2199"/>
  <c r="G248" i="2199"/>
  <c r="G247" i="2199"/>
  <c r="G246" i="2199"/>
  <c r="G245" i="2199"/>
  <c r="G244" i="2199"/>
  <c r="G243" i="2199"/>
  <c r="M226" i="2199"/>
  <c r="M225" i="2199"/>
  <c r="M224" i="2199"/>
  <c r="M223" i="2199"/>
  <c r="M222" i="2199"/>
  <c r="M221" i="2199"/>
  <c r="K226" i="2199"/>
  <c r="K225" i="2199"/>
  <c r="K224" i="2199"/>
  <c r="K223" i="2199"/>
  <c r="K222" i="2199"/>
  <c r="K221" i="2199"/>
  <c r="G227" i="2199"/>
  <c r="E220" i="2199"/>
  <c r="E219" i="2199"/>
  <c r="E218" i="2199"/>
  <c r="G220" i="2199"/>
  <c r="G219" i="2199"/>
  <c r="G218" i="2199"/>
  <c r="G217" i="2199"/>
  <c r="G216" i="2199"/>
  <c r="G215" i="2199"/>
  <c r="G214" i="2199"/>
  <c r="G213" i="2199"/>
  <c r="G212" i="2199"/>
  <c r="G211" i="2199"/>
  <c r="D172" i="2199"/>
  <c r="G160" i="2199"/>
  <c r="G130" i="2199"/>
  <c r="F130" i="2199"/>
  <c r="D122" i="2199"/>
  <c r="H120" i="2199"/>
  <c r="C113" i="2199" s="1"/>
  <c r="G120" i="2199"/>
  <c r="G132" i="2199" s="1"/>
  <c r="F120" i="2199"/>
  <c r="F132" i="2199" s="1"/>
  <c r="E120" i="2199"/>
  <c r="D120" i="2199"/>
  <c r="D35" i="2199"/>
  <c r="D34" i="2199"/>
  <c r="H142" i="2198" l="1"/>
  <c r="F172" i="2199"/>
  <c r="E103" i="2199"/>
  <c r="F60" i="2199"/>
  <c r="F85" i="2199" s="1"/>
  <c r="H60" i="2199"/>
  <c r="H103" i="2199"/>
  <c r="H260" i="2199"/>
  <c r="G39" i="2198"/>
  <c r="F39" i="2198"/>
  <c r="E39" i="2198"/>
  <c r="D39" i="2198"/>
  <c r="G38" i="2198"/>
  <c r="F38" i="2198"/>
  <c r="E38" i="2198"/>
  <c r="D38" i="2198"/>
  <c r="G37" i="2198"/>
  <c r="F37" i="2198"/>
  <c r="E37" i="2198"/>
  <c r="D37" i="2198"/>
  <c r="G36" i="2198"/>
  <c r="F36" i="2198"/>
  <c r="E36" i="2198"/>
  <c r="D36" i="2198"/>
  <c r="G35" i="2198"/>
  <c r="F35" i="2198"/>
  <c r="E35" i="2198"/>
  <c r="D35" i="2198"/>
  <c r="G34" i="2198"/>
  <c r="F34" i="2198"/>
  <c r="E34" i="2198"/>
  <c r="D34" i="2198"/>
  <c r="F27" i="2198"/>
  <c r="D124" i="2199"/>
  <c r="F129" i="2198"/>
  <c r="F259" i="2199"/>
  <c r="H259" i="2199" s="1"/>
  <c r="G65" i="5"/>
  <c r="G64" i="5"/>
  <c r="G63" i="5"/>
  <c r="G62" i="5"/>
  <c r="G61" i="5"/>
  <c r="G60" i="5"/>
  <c r="E65" i="5"/>
  <c r="E64" i="5"/>
  <c r="E63" i="5"/>
  <c r="E62" i="5"/>
  <c r="E61" i="5"/>
  <c r="E60" i="5"/>
  <c r="G41" i="5"/>
  <c r="E41" i="5"/>
  <c r="H40" i="5"/>
  <c r="H39" i="5"/>
  <c r="H38" i="5"/>
  <c r="H37" i="5"/>
  <c r="H36" i="5"/>
  <c r="H35" i="5"/>
  <c r="G17" i="5"/>
  <c r="H10" i="2195" s="1"/>
  <c r="E17" i="5"/>
  <c r="F10" i="2195" s="1"/>
  <c r="H16" i="5"/>
  <c r="H15" i="5"/>
  <c r="H14" i="5"/>
  <c r="H13" i="5"/>
  <c r="H12" i="5"/>
  <c r="H11" i="5"/>
  <c r="G29" i="5"/>
  <c r="E29" i="5"/>
  <c r="H28" i="5"/>
  <c r="H27" i="5"/>
  <c r="H26" i="5"/>
  <c r="H25" i="5"/>
  <c r="H24" i="5"/>
  <c r="H23" i="5"/>
  <c r="E5" i="2198"/>
  <c r="D5" i="2197"/>
  <c r="G134" i="2199" l="1"/>
  <c r="E66" i="5"/>
  <c r="E74" i="5" s="1"/>
  <c r="G66" i="5"/>
  <c r="G74" i="5" s="1"/>
  <c r="F134" i="2199"/>
  <c r="G122" i="2199"/>
  <c r="F122" i="2199"/>
  <c r="E122" i="2199"/>
  <c r="D125" i="2199"/>
  <c r="G259" i="2199"/>
  <c r="C248" i="2199"/>
  <c r="C247" i="2199"/>
  <c r="C246" i="2199"/>
  <c r="C245" i="2199"/>
  <c r="C244" i="2199"/>
  <c r="C243" i="2199"/>
  <c r="D248" i="2199"/>
  <c r="D247" i="2199"/>
  <c r="D246" i="2199"/>
  <c r="D245" i="2199"/>
  <c r="D244" i="2199"/>
  <c r="D243" i="2199"/>
  <c r="E169" i="2199"/>
  <c r="G39" i="2199"/>
  <c r="F39" i="2199"/>
  <c r="E39" i="2199"/>
  <c r="D39" i="2199"/>
  <c r="G38" i="2199"/>
  <c r="F38" i="2199"/>
  <c r="E38" i="2199"/>
  <c r="D38" i="2199"/>
  <c r="G37" i="2199"/>
  <c r="F37" i="2199"/>
  <c r="E37" i="2199"/>
  <c r="D37" i="2199"/>
  <c r="G36" i="2199"/>
  <c r="F36" i="2199"/>
  <c r="E36" i="2199"/>
  <c r="D36" i="2199"/>
  <c r="G35" i="2199"/>
  <c r="F35" i="2199"/>
  <c r="E35" i="2199"/>
  <c r="G34" i="2199"/>
  <c r="F34" i="2199"/>
  <c r="E34" i="2199"/>
  <c r="O226" i="2199" l="1"/>
  <c r="O225" i="2199"/>
  <c r="O224" i="2199"/>
  <c r="O223" i="2199"/>
  <c r="O222" i="2199"/>
  <c r="O221" i="2199"/>
  <c r="E244" i="2199" l="1"/>
  <c r="E248" i="2199"/>
  <c r="E243" i="2199"/>
  <c r="E247" i="2199"/>
  <c r="E246" i="2199"/>
  <c r="E245" i="2199"/>
  <c r="D188" i="2199"/>
  <c r="D129" i="2198"/>
  <c r="G65" i="2195"/>
  <c r="G181" i="2199"/>
  <c r="G122" i="2198"/>
  <c r="H15" i="2195"/>
  <c r="F15" i="2195"/>
  <c r="H13" i="2195"/>
  <c r="F13" i="2195"/>
  <c r="F258" i="2199"/>
  <c r="F257" i="2199"/>
  <c r="F256" i="2199"/>
  <c r="G198" i="2199"/>
  <c r="G199" i="2199"/>
  <c r="G200" i="2199"/>
  <c r="F199" i="2199"/>
  <c r="F198" i="2199"/>
  <c r="G256" i="2199" l="1"/>
  <c r="H256" i="2199"/>
  <c r="G258" i="2199"/>
  <c r="H258" i="2199"/>
  <c r="G257" i="2199"/>
  <c r="H257" i="2199"/>
  <c r="F262" i="2199"/>
  <c r="I62" i="2195" s="1"/>
  <c r="H199" i="2199"/>
  <c r="H198" i="2199"/>
  <c r="D123" i="2199"/>
  <c r="C104" i="2199"/>
  <c r="F140" i="2198"/>
  <c r="F139" i="2198"/>
  <c r="E16" i="2199"/>
  <c r="E15" i="2199"/>
  <c r="E14" i="2199"/>
  <c r="E13" i="2199"/>
  <c r="E12" i="2199"/>
  <c r="E11" i="2199"/>
  <c r="G144" i="2198"/>
  <c r="H144" i="2198" s="1"/>
  <c r="G141" i="2198"/>
  <c r="G140" i="2198"/>
  <c r="G139" i="2198"/>
  <c r="D109" i="2198"/>
  <c r="E16" i="2198"/>
  <c r="E15" i="2198"/>
  <c r="E14" i="2198"/>
  <c r="E13" i="2198"/>
  <c r="E12" i="2198"/>
  <c r="E11" i="2198"/>
  <c r="D16" i="2199"/>
  <c r="F16" i="2199" s="1"/>
  <c r="D15" i="2199"/>
  <c r="F15" i="2199" s="1"/>
  <c r="D14" i="2199"/>
  <c r="F14" i="2199" s="1"/>
  <c r="D13" i="2199"/>
  <c r="F13" i="2199" s="1"/>
  <c r="D12" i="2199"/>
  <c r="F12" i="2199" s="1"/>
  <c r="D11" i="2199"/>
  <c r="F211" i="2199"/>
  <c r="F219" i="2199" s="1"/>
  <c r="C140" i="2199"/>
  <c r="H65" i="5"/>
  <c r="H64" i="5"/>
  <c r="H63" i="5"/>
  <c r="H62" i="5"/>
  <c r="H61" i="5"/>
  <c r="H60" i="5"/>
  <c r="C103" i="2198"/>
  <c r="D105" i="2198" s="1"/>
  <c r="D16" i="2198"/>
  <c r="F16" i="2198" s="1"/>
  <c r="D15" i="2198"/>
  <c r="F15" i="2198" s="1"/>
  <c r="D14" i="2198"/>
  <c r="F14" i="2198" s="1"/>
  <c r="D13" i="2198"/>
  <c r="F13" i="2198" s="1"/>
  <c r="D12" i="2198"/>
  <c r="F12" i="2198" s="1"/>
  <c r="D11" i="2198"/>
  <c r="A1" i="2199"/>
  <c r="A1" i="2198"/>
  <c r="A1" i="2197"/>
  <c r="F11" i="2199" l="1"/>
  <c r="F25" i="2199" s="1"/>
  <c r="D25" i="2199"/>
  <c r="D25" i="2198"/>
  <c r="G133" i="2199"/>
  <c r="F133" i="2199"/>
  <c r="F212" i="2199"/>
  <c r="H212" i="2199" s="1"/>
  <c r="H219" i="2199"/>
  <c r="F11" i="2198"/>
  <c r="F141" i="2198" s="1"/>
  <c r="F153" i="2199"/>
  <c r="D144" i="2199" s="1"/>
  <c r="D148" i="2199" s="1"/>
  <c r="D121" i="2199"/>
  <c r="H121" i="2199" s="1"/>
  <c r="G121" i="2199"/>
  <c r="G105" i="2198"/>
  <c r="G110" i="2198" s="1"/>
  <c r="F220" i="2199"/>
  <c r="H220" i="2199" s="1"/>
  <c r="F54" i="2199"/>
  <c r="D54" i="2199"/>
  <c r="G54" i="2199"/>
  <c r="E54" i="2199"/>
  <c r="F58" i="2199"/>
  <c r="F83" i="2199" s="1"/>
  <c r="D58" i="2199"/>
  <c r="H58" i="2199" s="1"/>
  <c r="G58" i="2199"/>
  <c r="G83" i="2199" s="1"/>
  <c r="E58" i="2199"/>
  <c r="G55" i="2199"/>
  <c r="G80" i="2199" s="1"/>
  <c r="E55" i="2199"/>
  <c r="F55" i="2199"/>
  <c r="F80" i="2199" s="1"/>
  <c r="D55" i="2199"/>
  <c r="H55" i="2199" s="1"/>
  <c r="F57" i="2199"/>
  <c r="F82" i="2199" s="1"/>
  <c r="D57" i="2199"/>
  <c r="H57" i="2199" s="1"/>
  <c r="G57" i="2199"/>
  <c r="G82" i="2199" s="1"/>
  <c r="E57" i="2199"/>
  <c r="G56" i="2199"/>
  <c r="G81" i="2199" s="1"/>
  <c r="E56" i="2199"/>
  <c r="F56" i="2199"/>
  <c r="F81" i="2199" s="1"/>
  <c r="D56" i="2199"/>
  <c r="H56" i="2199" s="1"/>
  <c r="G262" i="2199"/>
  <c r="I48" i="2195" s="1"/>
  <c r="E83" i="5"/>
  <c r="E89" i="5" s="1"/>
  <c r="F56" i="2195" s="1"/>
  <c r="F11" i="2195"/>
  <c r="D268" i="2199"/>
  <c r="F268" i="2199" s="1"/>
  <c r="H11" i="2195"/>
  <c r="L223" i="2199"/>
  <c r="N223" i="2199" s="1"/>
  <c r="P223" i="2199" s="1"/>
  <c r="G223" i="2199" s="1"/>
  <c r="L224" i="2199"/>
  <c r="N224" i="2199" s="1"/>
  <c r="P224" i="2199" s="1"/>
  <c r="G224" i="2199" s="1"/>
  <c r="L222" i="2199"/>
  <c r="N222" i="2199" s="1"/>
  <c r="P222" i="2199" s="1"/>
  <c r="G222" i="2199" s="1"/>
  <c r="L226" i="2199"/>
  <c r="N226" i="2199" s="1"/>
  <c r="P226" i="2199" s="1"/>
  <c r="G226" i="2199" s="1"/>
  <c r="L221" i="2199"/>
  <c r="N221" i="2199" s="1"/>
  <c r="P221" i="2199" s="1"/>
  <c r="G221" i="2199" s="1"/>
  <c r="L225" i="2199"/>
  <c r="N225" i="2199" s="1"/>
  <c r="P225" i="2199" s="1"/>
  <c r="G225" i="2199" s="1"/>
  <c r="H139" i="2198"/>
  <c r="H262" i="2199"/>
  <c r="I49" i="2195" s="1"/>
  <c r="H211" i="2199"/>
  <c r="F142" i="2199"/>
  <c r="F147" i="2199" s="1"/>
  <c r="D142" i="2199"/>
  <c r="G142" i="2199"/>
  <c r="G147" i="2199" s="1"/>
  <c r="D126" i="2199"/>
  <c r="G123" i="2199"/>
  <c r="F123" i="2199"/>
  <c r="E123" i="2199"/>
  <c r="H140" i="2198"/>
  <c r="F105" i="2198"/>
  <c r="F110" i="2198" s="1"/>
  <c r="D54" i="2198"/>
  <c r="H54" i="2198" s="1"/>
  <c r="E54" i="2198"/>
  <c r="E58" i="2198"/>
  <c r="G56" i="2198"/>
  <c r="G82" i="2198" s="1"/>
  <c r="G83" i="5"/>
  <c r="G89" i="5" s="1"/>
  <c r="E55" i="2198"/>
  <c r="D58" i="2198"/>
  <c r="H58" i="2198" s="1"/>
  <c r="E57" i="2198"/>
  <c r="F54" i="2198"/>
  <c r="F80" i="2198" s="1"/>
  <c r="D56" i="2198"/>
  <c r="H56" i="2198" s="1"/>
  <c r="G54" i="2198"/>
  <c r="G80" i="2198" s="1"/>
  <c r="F58" i="2198"/>
  <c r="F84" i="2198" s="1"/>
  <c r="G57" i="2198"/>
  <c r="G83" i="2198" s="1"/>
  <c r="F57" i="2198"/>
  <c r="D55" i="2198"/>
  <c r="H55" i="2198" s="1"/>
  <c r="F56" i="2198"/>
  <c r="F82" i="2198" s="1"/>
  <c r="G55" i="2198"/>
  <c r="G81" i="2198" s="1"/>
  <c r="G58" i="2198"/>
  <c r="G84" i="2198" s="1"/>
  <c r="D57" i="2198"/>
  <c r="H57" i="2198" s="1"/>
  <c r="E56" i="2198"/>
  <c r="F55" i="2198"/>
  <c r="F81" i="2198" s="1"/>
  <c r="A1" i="2195"/>
  <c r="F216" i="2199" l="1"/>
  <c r="C105" i="2199"/>
  <c r="F53" i="2199"/>
  <c r="E53" i="2199"/>
  <c r="G53" i="2199"/>
  <c r="G102" i="2199" s="1"/>
  <c r="D53" i="2199"/>
  <c r="D53" i="2198"/>
  <c r="D67" i="2198" s="1"/>
  <c r="D107" i="2198" s="1"/>
  <c r="F25" i="2198"/>
  <c r="F28" i="2195" s="1"/>
  <c r="D280" i="2199"/>
  <c r="D281" i="2199" s="1"/>
  <c r="D153" i="2199"/>
  <c r="E153" i="2199" s="1"/>
  <c r="D149" i="2199"/>
  <c r="D189" i="2199" s="1"/>
  <c r="H268" i="2199"/>
  <c r="H270" i="2199" s="1"/>
  <c r="I50" i="2195" s="1"/>
  <c r="F270" i="2199"/>
  <c r="I63" i="2195" s="1"/>
  <c r="I65" i="2195" s="1"/>
  <c r="D169" i="2199"/>
  <c r="F169" i="2199" s="1"/>
  <c r="E144" i="2199"/>
  <c r="F214" i="2199"/>
  <c r="F122" i="2198"/>
  <c r="F215" i="2199"/>
  <c r="F217" i="2199"/>
  <c r="F181" i="2199"/>
  <c r="H181" i="2199" s="1"/>
  <c r="I39" i="2195" s="1"/>
  <c r="H56" i="2195"/>
  <c r="F200" i="2199"/>
  <c r="F213" i="2199" s="1"/>
  <c r="G125" i="2199"/>
  <c r="E125" i="2199"/>
  <c r="F125" i="2199"/>
  <c r="F121" i="2199"/>
  <c r="G144" i="2199"/>
  <c r="G148" i="2199" s="1"/>
  <c r="G149" i="2199" s="1"/>
  <c r="G188" i="2199" s="1"/>
  <c r="F144" i="2199"/>
  <c r="F148" i="2199" s="1"/>
  <c r="F149" i="2199" s="1"/>
  <c r="G79" i="2199"/>
  <c r="H54" i="2199"/>
  <c r="F79" i="2199"/>
  <c r="E53" i="2198"/>
  <c r="E67" i="2198" s="1"/>
  <c r="F53" i="2198"/>
  <c r="G53" i="2198"/>
  <c r="A1" i="5"/>
  <c r="G151" i="5" l="1"/>
  <c r="G148" i="5"/>
  <c r="E175" i="2199"/>
  <c r="H175" i="2199" s="1"/>
  <c r="I38" i="2195" s="1"/>
  <c r="D102" i="2199"/>
  <c r="H102" i="2199" s="1"/>
  <c r="E67" i="2199"/>
  <c r="E102" i="2199"/>
  <c r="F67" i="2199"/>
  <c r="F102" i="2199"/>
  <c r="F78" i="2199"/>
  <c r="F92" i="2199" s="1"/>
  <c r="F95" i="2199" s="1"/>
  <c r="G78" i="2199"/>
  <c r="G92" i="2199" s="1"/>
  <c r="G67" i="2199"/>
  <c r="H53" i="2199"/>
  <c r="H67" i="2199" s="1"/>
  <c r="D67" i="2199"/>
  <c r="G79" i="2198"/>
  <c r="G93" i="2198" s="1"/>
  <c r="G67" i="2198"/>
  <c r="F79" i="2198"/>
  <c r="F93" i="2198" s="1"/>
  <c r="F96" i="2198" s="1"/>
  <c r="F67" i="2198"/>
  <c r="D69" i="2198"/>
  <c r="H31" i="2195"/>
  <c r="D276" i="2199"/>
  <c r="H21" i="2195" s="1"/>
  <c r="F227" i="2199"/>
  <c r="H227" i="2199" s="1"/>
  <c r="E149" i="2199"/>
  <c r="E276" i="2199" s="1"/>
  <c r="D277" i="2199"/>
  <c r="H17" i="2195"/>
  <c r="H18" i="2195"/>
  <c r="F189" i="2199"/>
  <c r="H122" i="2198"/>
  <c r="G39" i="2195" s="1"/>
  <c r="G40" i="2195" s="1"/>
  <c r="F245" i="2199"/>
  <c r="H245" i="2199" s="1"/>
  <c r="F246" i="2199"/>
  <c r="H246" i="2199" s="1"/>
  <c r="F247" i="2199"/>
  <c r="H247" i="2199" s="1"/>
  <c r="F244" i="2199"/>
  <c r="H244" i="2199" s="1"/>
  <c r="F248" i="2199"/>
  <c r="H248" i="2199" s="1"/>
  <c r="F243" i="2199"/>
  <c r="H243" i="2199" s="1"/>
  <c r="H215" i="2199"/>
  <c r="H216" i="2199"/>
  <c r="H217" i="2199"/>
  <c r="H214" i="2199"/>
  <c r="H24" i="2195"/>
  <c r="C106" i="2199"/>
  <c r="H28" i="2195"/>
  <c r="H200" i="2199"/>
  <c r="H205" i="2199" s="1"/>
  <c r="E69" i="2198"/>
  <c r="E70" i="2198"/>
  <c r="E71" i="2198" s="1"/>
  <c r="H53" i="2198"/>
  <c r="H67" i="2198" s="1"/>
  <c r="D116" i="2198"/>
  <c r="H250" i="2199" l="1"/>
  <c r="F218" i="2199"/>
  <c r="H218" i="2199" s="1"/>
  <c r="H213" i="2199"/>
  <c r="G95" i="2199"/>
  <c r="G94" i="2199"/>
  <c r="D71" i="2198"/>
  <c r="G189" i="2199"/>
  <c r="H189" i="2199" s="1"/>
  <c r="I42" i="2195" s="1"/>
  <c r="H19" i="2195"/>
  <c r="F222" i="2199"/>
  <c r="H222" i="2199" s="1"/>
  <c r="F225" i="2199"/>
  <c r="H225" i="2199" s="1"/>
  <c r="F221" i="2199"/>
  <c r="H221" i="2199" s="1"/>
  <c r="F224" i="2199"/>
  <c r="H224" i="2199" s="1"/>
  <c r="F226" i="2199"/>
  <c r="H226" i="2199" s="1"/>
  <c r="F223" i="2199"/>
  <c r="H223" i="2199" s="1"/>
  <c r="E70" i="2199"/>
  <c r="E69" i="2199"/>
  <c r="D70" i="2199"/>
  <c r="D71" i="2199" s="1"/>
  <c r="D69" i="2199"/>
  <c r="F70" i="2199"/>
  <c r="F69" i="2199"/>
  <c r="G69" i="2199"/>
  <c r="G70" i="2199"/>
  <c r="E280" i="2199"/>
  <c r="E281" i="2199" s="1"/>
  <c r="H22" i="2195"/>
  <c r="H69" i="2199"/>
  <c r="F28" i="2199" s="1"/>
  <c r="G140" i="5"/>
  <c r="H69" i="2198"/>
  <c r="I43" i="2195"/>
  <c r="F276" i="2199"/>
  <c r="E277" i="2199"/>
  <c r="C90" i="2197" s="1"/>
  <c r="G276" i="2199"/>
  <c r="F94" i="2199"/>
  <c r="F69" i="2198"/>
  <c r="F70" i="2198"/>
  <c r="F71" i="2198" s="1"/>
  <c r="G69" i="2198"/>
  <c r="G70" i="2198"/>
  <c r="G71" i="2198" s="1"/>
  <c r="E90" i="2197" l="1"/>
  <c r="G90" i="2197" s="1"/>
  <c r="H237" i="2199"/>
  <c r="I45" i="2195" s="1"/>
  <c r="F28" i="2198"/>
  <c r="D72" i="2198" s="1"/>
  <c r="D111" i="2198"/>
  <c r="E116" i="2198"/>
  <c r="I46" i="2195"/>
  <c r="E104" i="2199"/>
  <c r="E105" i="2199"/>
  <c r="D72" i="2199"/>
  <c r="F277" i="2199"/>
  <c r="F280" i="2199"/>
  <c r="F281" i="2199" s="1"/>
  <c r="G277" i="2199"/>
  <c r="G280" i="2199"/>
  <c r="G281" i="2199" s="1"/>
  <c r="D104" i="2199"/>
  <c r="H104" i="2199" s="1"/>
  <c r="D105" i="2199"/>
  <c r="H105" i="2199" s="1"/>
  <c r="G104" i="2199"/>
  <c r="G105" i="2199"/>
  <c r="F105" i="2199"/>
  <c r="F104" i="2199"/>
  <c r="H106" i="2199" l="1"/>
  <c r="I51" i="2195"/>
  <c r="E106" i="2199"/>
  <c r="D106" i="2199"/>
  <c r="G106" i="2199"/>
  <c r="F106" i="2199"/>
  <c r="D112" i="2198"/>
  <c r="D130" i="2198" s="1"/>
  <c r="H141" i="2198" l="1"/>
  <c r="H146" i="2198" s="1"/>
  <c r="F29" i="2195"/>
  <c r="E112" i="2198"/>
  <c r="F17" i="2195"/>
  <c r="D152" i="2198"/>
  <c r="D155" i="2198"/>
  <c r="D156" i="2198" s="1"/>
  <c r="E152" i="2198" l="1"/>
  <c r="E155" i="2198" s="1"/>
  <c r="D153" i="2198"/>
  <c r="F21" i="2195"/>
  <c r="G43" i="2195"/>
  <c r="E153" i="2198" l="1"/>
  <c r="F22" i="2195"/>
  <c r="E156" i="2198" l="1"/>
  <c r="C91" i="2197"/>
  <c r="G96" i="2198"/>
  <c r="G95" i="2198"/>
  <c r="F107" i="2198"/>
  <c r="F111" i="2198" s="1"/>
  <c r="E91" i="2197" l="1"/>
  <c r="G91" i="2197" s="1"/>
  <c r="C93" i="2197"/>
  <c r="G107" i="2198"/>
  <c r="G111" i="2198" s="1"/>
  <c r="G112" i="2198" s="1"/>
  <c r="F112" i="2198"/>
  <c r="G93" i="2197" l="1"/>
  <c r="F159" i="2199" s="1"/>
  <c r="G161" i="2199" s="1"/>
  <c r="G163" i="2199" s="1"/>
  <c r="G129" i="2198"/>
  <c r="G130" i="2198" s="1"/>
  <c r="F19" i="2195"/>
  <c r="G152" i="2198"/>
  <c r="G153" i="2198" s="1"/>
  <c r="G156" i="2198" s="1"/>
  <c r="H26" i="2195" l="1"/>
  <c r="H163" i="2199"/>
  <c r="I37" i="2195" s="1"/>
  <c r="F130" i="2198"/>
  <c r="F18" i="2195"/>
  <c r="F152" i="2198"/>
  <c r="F155" i="2198" s="1"/>
  <c r="G155" i="2198"/>
  <c r="I40" i="2195" l="1"/>
  <c r="I53" i="2195" s="1"/>
  <c r="H130" i="2198"/>
  <c r="G42" i="2195" s="1"/>
  <c r="G51" i="2195" s="1"/>
  <c r="G53" i="2195" s="1"/>
  <c r="F153" i="2198"/>
  <c r="F156" i="2198" s="1"/>
  <c r="I55" i="2195" l="1"/>
</calcChain>
</file>

<file path=xl/comments1.xml><?xml version="1.0" encoding="utf-8"?>
<comments xmlns="http://schemas.openxmlformats.org/spreadsheetml/2006/main">
  <authors>
    <author>bruger</author>
    <author>Alan Lunde</author>
  </authors>
  <commentList>
    <comment ref="H72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Krav fra Holstebro kommune</t>
        </r>
      </text>
    </comment>
    <comment ref="H74" authorId="1">
      <text>
        <r>
          <rPr>
            <b/>
            <sz val="9"/>
            <color indexed="81"/>
            <rFont val="Tahoma"/>
            <family val="2"/>
          </rPr>
          <t>Alan Lunde:</t>
        </r>
        <r>
          <rPr>
            <sz val="9"/>
            <color indexed="81"/>
            <rFont val="Tahoma"/>
            <family val="2"/>
          </rPr>
          <t xml:space="preserve">
Disse værdier skal verificeres
</t>
        </r>
      </text>
    </comment>
  </commentList>
</comments>
</file>

<file path=xl/comments2.xml><?xml version="1.0" encoding="utf-8"?>
<comments xmlns="http://schemas.openxmlformats.org/spreadsheetml/2006/main">
  <authors>
    <author>Alan Lunde</author>
  </authors>
  <commentList>
    <comment ref="H120" authorId="0">
      <text>
        <r>
          <rPr>
            <b/>
            <sz val="9"/>
            <color indexed="81"/>
            <rFont val="Tahoma"/>
            <family val="2"/>
          </rPr>
          <t>Alan Lunde:</t>
        </r>
        <r>
          <rPr>
            <sz val="9"/>
            <color indexed="81"/>
            <rFont val="Tahoma"/>
            <family val="2"/>
          </rPr>
          <t xml:space="preserve">
Disse værdier skal verificeres
</t>
        </r>
      </text>
    </comment>
    <comment ref="D149" authorId="0">
      <text>
        <r>
          <rPr>
            <b/>
            <sz val="9"/>
            <color indexed="81"/>
            <rFont val="Tahoma"/>
            <family val="2"/>
          </rPr>
          <t>Alan Lunde:</t>
        </r>
        <r>
          <rPr>
            <sz val="9"/>
            <color indexed="81"/>
            <rFont val="Tahoma"/>
            <family val="2"/>
          </rPr>
          <t xml:space="preserve">
hvis 0 = 0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Alan Lunde:</t>
        </r>
        <r>
          <rPr>
            <sz val="9"/>
            <color indexed="81"/>
            <rFont val="Tahoma"/>
            <family val="2"/>
          </rPr>
          <t xml:space="preserve">
Hvis mindre end 0 =0</t>
        </r>
      </text>
    </comment>
  </commentList>
</comments>
</file>

<file path=xl/sharedStrings.xml><?xml version="1.0" encoding="utf-8"?>
<sst xmlns="http://schemas.openxmlformats.org/spreadsheetml/2006/main" count="864" uniqueCount="350">
  <si>
    <t xml:space="preserve">Udarbejdet den : </t>
  </si>
  <si>
    <t>Indtægter i alt</t>
  </si>
  <si>
    <t>Antal</t>
  </si>
  <si>
    <t>Mink</t>
  </si>
  <si>
    <t>Kvæg</t>
  </si>
  <si>
    <t>Søer</t>
  </si>
  <si>
    <t>Forudsætninger</t>
  </si>
  <si>
    <t>Business Case - for andelshaver</t>
  </si>
  <si>
    <t>Antal DE</t>
  </si>
  <si>
    <t>Ej andelshaver</t>
  </si>
  <si>
    <t>Andelshaver</t>
  </si>
  <si>
    <t>Antal DE - total</t>
  </si>
  <si>
    <t>Kalve</t>
  </si>
  <si>
    <t>Smågrise</t>
  </si>
  <si>
    <t>Økonomi</t>
  </si>
  <si>
    <t>Omkostninger i alt</t>
  </si>
  <si>
    <t>Netto resultat (alt andet lige)</t>
  </si>
  <si>
    <t>Behandlingsgebyr</t>
  </si>
  <si>
    <t>CO2 udledning</t>
  </si>
  <si>
    <t>Forrentning - andelskapital</t>
  </si>
  <si>
    <t>Økonomisk fordel ved deltagelse i Maabjerg BioEnergy</t>
  </si>
  <si>
    <t>Resultatopgørelse</t>
  </si>
  <si>
    <t>Investering i alt</t>
  </si>
  <si>
    <t>Lempeligere regler for Efterafgrødearealer</t>
  </si>
  <si>
    <t>Næringsstoffer kg/ha</t>
  </si>
  <si>
    <t>Næringsstoffer udnyt. på egen bedrift</t>
  </si>
  <si>
    <t>Næringsstoffer ialt anvendt på egen bedrift</t>
  </si>
  <si>
    <t>Gylleaftale</t>
  </si>
  <si>
    <t>Gylleudbringning kr./ton</t>
  </si>
  <si>
    <t>Gylle flytning kr./time</t>
  </si>
  <si>
    <t>Gylleomrøring kr./time</t>
  </si>
  <si>
    <t>Indkøb handelsgødning (kr.)</t>
  </si>
  <si>
    <t>Næringsstof pris handelsgødn. (kr/kg)</t>
  </si>
  <si>
    <t>Handelsgødningsbehov (kg)</t>
  </si>
  <si>
    <t>Reguleret for udnyttelses-%</t>
  </si>
  <si>
    <t>Max. Husdyrgødnings anvendt på egen bedrift</t>
  </si>
  <si>
    <t>Tons udbragt</t>
  </si>
  <si>
    <t>kontrol DE/ha</t>
  </si>
  <si>
    <t>Kvælstofkvote afgrøder (lovkrav)</t>
  </si>
  <si>
    <t>Afgrødebehov for økonomisk optimalt udbytte - angives ud fra årets gødningsplan</t>
  </si>
  <si>
    <t>K</t>
  </si>
  <si>
    <t>P</t>
  </si>
  <si>
    <t>heraf NH4-N og Handelsgød.</t>
  </si>
  <si>
    <t>N</t>
  </si>
  <si>
    <t>Dyrkningsareal [ha]</t>
  </si>
  <si>
    <t xml:space="preserve">Krav til udnyttelse i Husdyrgødning (%) </t>
  </si>
  <si>
    <t>Max. Husdyrgødning (godkendt DE/ha)</t>
  </si>
  <si>
    <t>Indhold kg/DE</t>
  </si>
  <si>
    <t>Indhold/ton + Krav til N-udnyttelse i %</t>
  </si>
  <si>
    <t>Mængde og indhold</t>
  </si>
  <si>
    <t>Slagtesvin</t>
  </si>
  <si>
    <t>K (80%)</t>
  </si>
  <si>
    <t>P (70%)</t>
  </si>
  <si>
    <t>NH4-N</t>
  </si>
  <si>
    <t>N-total</t>
  </si>
  <si>
    <t>Std. Tørstof-%</t>
  </si>
  <si>
    <t>Std. Tons/DE</t>
  </si>
  <si>
    <t>Standard kg/ton</t>
  </si>
  <si>
    <t>Arealbalance</t>
  </si>
  <si>
    <t>Husdyrgødningsaftale [ha]</t>
  </si>
  <si>
    <t>Forpagtet areal [ha]</t>
  </si>
  <si>
    <t>Ejet areal [ha]</t>
  </si>
  <si>
    <t>Arealbehov ift. Miljøgodkendelse [ha]</t>
  </si>
  <si>
    <t>Godkendt antal DE/ha ifg. Miljøgodkendelse</t>
  </si>
  <si>
    <t>Andel DE - Mink</t>
  </si>
  <si>
    <t>Andel DE - Slagtesvin</t>
  </si>
  <si>
    <t>Andel DE- Smågrise</t>
  </si>
  <si>
    <t>Andel DE - Søer</t>
  </si>
  <si>
    <t>Andel  DE - Kalve</t>
  </si>
  <si>
    <t>Andel  DE - Kvæg</t>
  </si>
  <si>
    <t>Krav til udnyttelse %</t>
  </si>
  <si>
    <t>Merværdi afgrøder (proteindel) Kr./i alt</t>
  </si>
  <si>
    <t>Merudbytte omregnet soja (hkg)</t>
  </si>
  <si>
    <t>Samlede udbytte (ton)</t>
  </si>
  <si>
    <t>Merudbytte protein (højere %)</t>
  </si>
  <si>
    <t>kr./ha</t>
  </si>
  <si>
    <t>Kr./hkg</t>
  </si>
  <si>
    <t>Merudbytte hkg/ha</t>
  </si>
  <si>
    <t>Næringsstoffer anvendt på egen bedrift</t>
  </si>
  <si>
    <t>Reel udnyttelse-%</t>
  </si>
  <si>
    <t>kr.</t>
  </si>
  <si>
    <t>Indkøb handelsgødning</t>
  </si>
  <si>
    <t>Handelsgødningsbehov</t>
  </si>
  <si>
    <t>ton</t>
  </si>
  <si>
    <t>Max. afg. biomasse anvendt på egen bedrift</t>
  </si>
  <si>
    <t>DE</t>
  </si>
  <si>
    <t>Max. ton afgasset biomasse/ha</t>
  </si>
  <si>
    <t>Tons/DE</t>
  </si>
  <si>
    <t>Indhold i alt (ton)</t>
  </si>
  <si>
    <t>Indhold kg/ton (akk. Analyse)</t>
  </si>
  <si>
    <t>Afgasset biomasse modtaget fra MBE</t>
  </si>
  <si>
    <t xml:space="preserve">Lagerbeholdning </t>
  </si>
  <si>
    <t>Husdyrgødning afsat til andre</t>
  </si>
  <si>
    <t>Husdyrgødning afsat til Maabjerg BioEnergy</t>
  </si>
  <si>
    <t>Standard værdier og forudsætninger</t>
  </si>
  <si>
    <t xml:space="preserve">Beregninger - uden deltagelse i Maabjerg BioEnergy </t>
  </si>
  <si>
    <t>Omkostninger til udbringning af husdyrgødning</t>
  </si>
  <si>
    <t>Pris</t>
  </si>
  <si>
    <t>Forudsætninger ift. den konkrete bedrift</t>
  </si>
  <si>
    <t>Arealbehov og faktisk areal /arealbalance</t>
  </si>
  <si>
    <t>Faktisk Areal - til rådighed:</t>
  </si>
  <si>
    <t>TS indhold - faktisk på bedriften</t>
  </si>
  <si>
    <t>Gødningsbehov ift. aktuel markplan</t>
  </si>
  <si>
    <t>Standard indhold gødning - kg/ton ved standard</t>
  </si>
  <si>
    <t>Produktion gylle - i ton/DE og standard tørstof%</t>
  </si>
  <si>
    <t xml:space="preserve">Faglig gødningsværdi </t>
  </si>
  <si>
    <t>Priser på Handelsgødning - kr./kg</t>
  </si>
  <si>
    <t>Produktion gylle - i ton/DE og korrektion til faktisk TS</t>
  </si>
  <si>
    <t>Faktisk TS ift. Norm TS</t>
  </si>
  <si>
    <t>Aktuel ton gylle</t>
  </si>
  <si>
    <t>Total mængde og indhold</t>
  </si>
  <si>
    <t>Gødning - indhold/ton gylle - korrigeret for faktisk TS</t>
  </si>
  <si>
    <t>Gødning på bedriften i alt - Kg</t>
  </si>
  <si>
    <t>Lovkrav til udnyttelse
N</t>
  </si>
  <si>
    <t>Kontrol - DE/ha ift.</t>
  </si>
  <si>
    <t>Gødningsplan og behov for handelsgødning</t>
  </si>
  <si>
    <t>Indkøb af handelsgødning</t>
  </si>
  <si>
    <t>Total</t>
  </si>
  <si>
    <t>Udbringning af husdyrgødning:</t>
  </si>
  <si>
    <t>Omkostninger udbringning husdyrgødning</t>
  </si>
  <si>
    <t xml:space="preserve">Næringsstoffer i alt </t>
  </si>
  <si>
    <t xml:space="preserve">Beregninger - med deltagelse i Maabjerg BioEnergy </t>
  </si>
  <si>
    <t>Antal timer</t>
  </si>
  <si>
    <t>Fordeling af gødning - til MBE og til andre</t>
  </si>
  <si>
    <t>Heraf NH4-N</t>
  </si>
  <si>
    <t>Ton gylle</t>
  </si>
  <si>
    <t>Rest - oplagring / lagerbeholdning</t>
  </si>
  <si>
    <t>Fordeling af gylle fra besætning</t>
  </si>
  <si>
    <t>Gødningsindhold i afgasset biomasse</t>
  </si>
  <si>
    <t>Faglig gødningsværdi i afgasset biomasse</t>
  </si>
  <si>
    <t>Merudbytte - afgrøder</t>
  </si>
  <si>
    <t>ha á</t>
  </si>
  <si>
    <t>Merudbytte - protein indhold</t>
  </si>
  <si>
    <t>ha</t>
  </si>
  <si>
    <t>Faktor</t>
  </si>
  <si>
    <t>*10</t>
  </si>
  <si>
    <t>hkg. 'a</t>
  </si>
  <si>
    <t>hkg.</t>
  </si>
  <si>
    <t xml:space="preserve">Sojapris - kr./hkg. </t>
  </si>
  <si>
    <t>Antal ton</t>
  </si>
  <si>
    <t>Total betaling til Maabjerg BioEnergy</t>
  </si>
  <si>
    <t>Levetid</t>
  </si>
  <si>
    <t>Tanke - inkl. ombygning af egne</t>
  </si>
  <si>
    <t>Installering af studs til afhentning</t>
  </si>
  <si>
    <t>Udstyr til niveaumåling og kommunikation</t>
  </si>
  <si>
    <t>Årlig afskrivning</t>
  </si>
  <si>
    <t>Investeringer i Hardware</t>
  </si>
  <si>
    <t xml:space="preserve">Løbende betaling til Maabjerg BioEnergy </t>
  </si>
  <si>
    <t>Total investering i hard-ware</t>
  </si>
  <si>
    <t>Rente -
 1. år</t>
  </si>
  <si>
    <t>Finansiering - rente</t>
  </si>
  <si>
    <t>Rentesats - investeringer</t>
  </si>
  <si>
    <t>Indbetaling - andelsbevis</t>
  </si>
  <si>
    <t>Andelsbeviser</t>
  </si>
  <si>
    <t>Total indbetaling andelsbeviser</t>
  </si>
  <si>
    <t>kr. /år</t>
  </si>
  <si>
    <t>Nøgletal - produktion</t>
  </si>
  <si>
    <t>Total areal - i ha.</t>
  </si>
  <si>
    <t>Areal balance - i ha (positiv tal - overskydende areal)</t>
  </si>
  <si>
    <t>Køb af handelsgødning - K - i kg.</t>
  </si>
  <si>
    <t>Køb af handelsgødning - P - i kg.</t>
  </si>
  <si>
    <t>Køb af handelsgødning - N - i kg.</t>
  </si>
  <si>
    <t>DE/ha</t>
  </si>
  <si>
    <t>kg.</t>
  </si>
  <si>
    <t>Mindre køb af Protein - hkg. Soya</t>
  </si>
  <si>
    <t>kr. /ha</t>
  </si>
  <si>
    <t>Merudbytte - afgrøder som følge af bedre gødning</t>
  </si>
  <si>
    <t>Leveret gylle til MBE</t>
  </si>
  <si>
    <t>Afgasset biomasse retur - optimal ift. gødningsindhold på mark</t>
  </si>
  <si>
    <t>Køb af handelsgødning</t>
  </si>
  <si>
    <t xml:space="preserve">Omkostninger udbringning af husdyrgødning </t>
  </si>
  <si>
    <t>Merudbytte afgrøder</t>
  </si>
  <si>
    <t>Merudbytte - proteinindhold</t>
  </si>
  <si>
    <t>Løbende betaling til Maabjerg BioEnergy</t>
  </si>
  <si>
    <t>Afskrivning - hardware på bedrift</t>
  </si>
  <si>
    <t>Forrentning - hardware på bedrift</t>
  </si>
  <si>
    <t>Areal balance - ganget med forpagtningsafgift /ha</t>
  </si>
  <si>
    <t>Antal ha</t>
  </si>
  <si>
    <t>Andre forhold - økonomisk fordel ikke indregnet i ovenstående</t>
  </si>
  <si>
    <t xml:space="preserve">Fordele ved deltagelse i Maabjerg BioEnergy </t>
  </si>
  <si>
    <t>Ulemper ved deltagelse i Maabjerg BioEnergy</t>
  </si>
  <si>
    <t>Forpligtelse til leverance gældende i 20 år</t>
  </si>
  <si>
    <t>Investering (alt andet lige)</t>
  </si>
  <si>
    <t>Investering i hardware på bedrift</t>
  </si>
  <si>
    <t>Investering i andelskapital</t>
  </si>
  <si>
    <t>Forpagtningsafgift / gødningsaftaler - kr./ha</t>
  </si>
  <si>
    <t>NB - der indkøbes ikke P i det omfang arealbehovet overstiger mængden af P fra husdyrgødningen</t>
  </si>
  <si>
    <t>Afgrødebehov for økonomisk optimalt udbytte jf. ovenfor (for P max = husdyr)</t>
  </si>
  <si>
    <t>Pris pr. kg.</t>
  </si>
  <si>
    <t>Godskrivning - norm TS /brændværdi - Kvæg og Kalve</t>
  </si>
  <si>
    <t>Godskrivning - norm TS /brændværdi - Søer og Smågrise</t>
  </si>
  <si>
    <t>Godskrivning - norm TS /brændværdi - Slagtesvin</t>
  </si>
  <si>
    <t>Godskrivning - norm TS /brændværdi - Mink</t>
  </si>
  <si>
    <t>Behandlingsgebyr - ekstra retur ift. leveret</t>
  </si>
  <si>
    <t>Regulering TS - Kvæg</t>
  </si>
  <si>
    <t>Regulering TS - Kalve</t>
  </si>
  <si>
    <t>Regulering TS - Søer</t>
  </si>
  <si>
    <t>Regulering TS - Smågrise</t>
  </si>
  <si>
    <t>Regulering TS - Slagtesvin</t>
  </si>
  <si>
    <t>Regulering TS - Mink</t>
  </si>
  <si>
    <t>Taxameter gebyr (tid aflæsning - returgylle) (min/tankninger/kr)</t>
  </si>
  <si>
    <t>Taxameter gebyr (tid pålæsning - rågylle)  (min/tankninger/kr)</t>
  </si>
  <si>
    <t>Kørsel udenfor kerneområde (km udenfor)</t>
  </si>
  <si>
    <t>Udregning af Kalium-.udligning</t>
  </si>
  <si>
    <t>Kali- kg/ton Norm TS</t>
  </si>
  <si>
    <t>Reg. TS</t>
  </si>
  <si>
    <t>Std. Retur</t>
  </si>
  <si>
    <t>Reg. Kali kg/ton</t>
  </si>
  <si>
    <t>Kr/ton</t>
  </si>
  <si>
    <t>Kaliumudligning - kvæg - reg. med faktisk TS</t>
  </si>
  <si>
    <t>Kaliumudligning - kalve  - reg. med faktisk TS</t>
  </si>
  <si>
    <t>Kaliumudligning - søer  - reg. med faktisk TS</t>
  </si>
  <si>
    <t>Kaliumudligning - smågrise  - reg. med faktisk TS</t>
  </si>
  <si>
    <t>Kaliumudligning - slagtesvin  - reg. med faktisk TS</t>
  </si>
  <si>
    <t>Kaliumudligning - mink  - reg. med faktisk TS</t>
  </si>
  <si>
    <t>Faglig gødningsværdi  - udnyttelsesprocenter</t>
  </si>
  <si>
    <t>Total N udbragt på arealer - N i kg</t>
  </si>
  <si>
    <t>Betaling for TS regulering - Faktisk TS ift. Norm TS</t>
  </si>
  <si>
    <t>Max. Husdyrgødning (godkendt DE/ha - uden MBE)</t>
  </si>
  <si>
    <t>Regulering TS - Afvigelse ift. Norm TS</t>
  </si>
  <si>
    <t xml:space="preserve">Faktisk </t>
  </si>
  <si>
    <t>Pris pr. 0,1 i afv.</t>
  </si>
  <si>
    <t>Afv. TS</t>
  </si>
  <si>
    <t>Total betaling for regulering TS til Maabjerg BioEnergy</t>
  </si>
  <si>
    <t>Heraf udgør NH4 og handelsgødning N i kg.</t>
  </si>
  <si>
    <t>Fremtidssikring</t>
  </si>
  <si>
    <t>Lugtreduktion</t>
  </si>
  <si>
    <t>Alle</t>
  </si>
  <si>
    <t>Aktuel TS - i %</t>
  </si>
  <si>
    <t>Gylleaftale kr./ton</t>
  </si>
  <si>
    <t>MBE Std. Tørstof-%</t>
  </si>
  <si>
    <t>Fagligt indhold/ton</t>
  </si>
  <si>
    <t>Indhold kg/ton (akk. Analyse) - seneste prøve</t>
  </si>
  <si>
    <t>ton/ha</t>
  </si>
  <si>
    <t>Vækgebyr (hvis netto væk)</t>
  </si>
  <si>
    <t>MBE 
Norm TS 
- i %</t>
  </si>
  <si>
    <t>Egne DE</t>
  </si>
  <si>
    <t>Modtaget DE</t>
  </si>
  <si>
    <t>Afsat DE</t>
  </si>
  <si>
    <t>DE Total</t>
  </si>
  <si>
    <t>Eftergødningsareal</t>
  </si>
  <si>
    <t>Efterafgrødekrav (ha)</t>
  </si>
  <si>
    <t>Ved separation og forbrænding af 25DE reduceres efter-</t>
  </si>
  <si>
    <t>afgrødebehovet med 1</t>
  </si>
  <si>
    <t>Overdækning af tanke</t>
  </si>
  <si>
    <t xml:space="preserve">Afgrødebehov for økonomisk optimalt udbytte jf. ovenfor </t>
  </si>
  <si>
    <t>Hvis der er overskydende mængde af K, sættes prisen på K=0 kr.</t>
  </si>
  <si>
    <t>Behandlingsgebyr - retur (svarende til egen leverance)</t>
  </si>
  <si>
    <t>Kan nyttiggøres ved (afhænger af andre forhold)</t>
  </si>
  <si>
    <t>Sælge jord fra/opsige forpagtet areal (marginal DB??)</t>
  </si>
  <si>
    <t>Øge husdyrproduktionen (marginal DB??)</t>
  </si>
  <si>
    <t>Optimering af gødningsværdi af returgylle fra MBE er indarbejdet.</t>
  </si>
  <si>
    <t xml:space="preserve">Afkast af arealbalance </t>
  </si>
  <si>
    <t>Afkast af arealbalance</t>
  </si>
  <si>
    <t>Udbytte fra afgrøder viser sig først efter et helt års drift - dvs. ved høst 2013.</t>
  </si>
  <si>
    <t>(- er overskydende mængder)</t>
  </si>
  <si>
    <t>Antal DE - egne</t>
  </si>
  <si>
    <t>Antal DE - total - inkl. til/fra andre bedrifter</t>
  </si>
  <si>
    <t>Indhold kg/ton (akk. Analyse) - i %</t>
  </si>
  <si>
    <t>hkg/ha</t>
  </si>
  <si>
    <t>kr./hkg</t>
  </si>
  <si>
    <t xml:space="preserve">Proteinindhold i Soja </t>
  </si>
  <si>
    <t>Priser og standarder</t>
  </si>
  <si>
    <t>kr./ton</t>
  </si>
  <si>
    <t>kr./min</t>
  </si>
  <si>
    <t>kr./km</t>
  </si>
  <si>
    <t>Standard læs - i ton</t>
  </si>
  <si>
    <t>kr. pr. 0,1 i afv. ift. Norm TS</t>
  </si>
  <si>
    <t>Investeringer i bedrift - ved deltagelse</t>
  </si>
  <si>
    <t>Indskud Andelshaver - kr. / DE</t>
  </si>
  <si>
    <t>kr./DE</t>
  </si>
  <si>
    <t xml:space="preserve">Næringsstoffer </t>
  </si>
  <si>
    <t>Reel udnyttelse-%  (N)</t>
  </si>
  <si>
    <t>Tilskud til investeringer - Ecostiler</t>
  </si>
  <si>
    <t>Omkostninger til transport mellem tanke - skønnet</t>
  </si>
  <si>
    <t>Anvendt på bedrift - tal fra gødningsplan</t>
  </si>
  <si>
    <t>Fast gødning - Dybstrøelse</t>
  </si>
  <si>
    <t>Andel  DE - Kvæg fast gødning</t>
  </si>
  <si>
    <t>Andel  DE - Kvæg - dybstrøelse</t>
  </si>
  <si>
    <t>Andel DE - Svin - dybstrøelse</t>
  </si>
  <si>
    <t>Andel DE - Mink - Fast møg</t>
  </si>
  <si>
    <t>Andel DE - Kylling</t>
  </si>
  <si>
    <t>Andel DE - Høns</t>
  </si>
  <si>
    <t>Antal DE - gylle</t>
  </si>
  <si>
    <t>Andel DE - Hest</t>
  </si>
  <si>
    <t>Kvæg - dybstrøelse</t>
  </si>
  <si>
    <t>Kvæg - fast gødning</t>
  </si>
  <si>
    <t>Svin - dybstrøelse</t>
  </si>
  <si>
    <t>Mink - Fast møg</t>
  </si>
  <si>
    <t>Kylling</t>
  </si>
  <si>
    <t>Høns</t>
  </si>
  <si>
    <t>Hest</t>
  </si>
  <si>
    <t>Fast gødning (håndtering/dækning)</t>
  </si>
  <si>
    <t>Fast gødning udspredning</t>
  </si>
  <si>
    <t>Fast gødning afsat til Maabjerg BioEnergy</t>
  </si>
  <si>
    <t>Leveret fast gødning til MBE</t>
  </si>
  <si>
    <t>Rågylle og fast gødning fra besætning - faktisk ift.</t>
  </si>
  <si>
    <t>Antal/std.</t>
  </si>
  <si>
    <t>Behandlingsgebyr - Kvæg fast gødning</t>
  </si>
  <si>
    <t>Behandlingsgebyr - Kvæg - dybstrøelse</t>
  </si>
  <si>
    <t>Behandlingsgebyr - Svin - dybstrøelse</t>
  </si>
  <si>
    <t>Behandlingsgebyr - Mink - Fast møg</t>
  </si>
  <si>
    <t>Behandlingsgebyr - Kylling</t>
  </si>
  <si>
    <t>Behandlingsgebyr - Høns</t>
  </si>
  <si>
    <t>Behandlingsgebyr - Hest</t>
  </si>
  <si>
    <t>Før MBE</t>
  </si>
  <si>
    <t>Efter MBE</t>
  </si>
  <si>
    <t>Forskel</t>
  </si>
  <si>
    <t>kg. NH4-N
/ha</t>
  </si>
  <si>
    <t>Faktor - udbytte/ha</t>
  </si>
  <si>
    <t>Udbytte i hkg./ha</t>
  </si>
  <si>
    <t>Kr./hkg afgrøde</t>
  </si>
  <si>
    <t>Høstudbytte - og brug af egne afgrøder som foder</t>
  </si>
  <si>
    <t xml:space="preserve">  svarende til %</t>
  </si>
  <si>
    <t xml:space="preserve">  svarende til et totalt høstudbytte på </t>
  </si>
  <si>
    <t>Niels Mikkelsen - Version A2</t>
  </si>
  <si>
    <t>Normtal ?? Er det analyseresultater? Eller fra normtal 2012</t>
  </si>
  <si>
    <t>Behov gennemsnit areal (kg/ha) Fagligt fra gødningsplan</t>
  </si>
  <si>
    <t>Kvælstofkvote afgrøder (lovkrav) fra gødningsplan,</t>
  </si>
  <si>
    <t>Gennemsnitligt høstudbytte pr. ha - t/ha - estimat</t>
  </si>
  <si>
    <t>Maksimalt brug af egne afgrøder til foder - foderplan</t>
  </si>
  <si>
    <t>Landmandens priser</t>
  </si>
  <si>
    <t>Landmanden egne priser - estimat</t>
  </si>
  <si>
    <t>Tilskud til investeringer - Ecostiler ??</t>
  </si>
  <si>
    <t xml:space="preserve">Kilde: </t>
  </si>
  <si>
    <t>Kilde:</t>
  </si>
  <si>
    <t>Kilde: DJf rapport nr. 36 m/ ændringer 2011</t>
  </si>
  <si>
    <t>Analyse fra biogasanlægget</t>
  </si>
  <si>
    <t>Indhold kg/DE -</t>
  </si>
  <si>
    <t>Korrigering</t>
  </si>
  <si>
    <t xml:space="preserve">teltoverdækning eller membran på gyllebeholderen. </t>
  </si>
  <si>
    <t>PS: Udnyttelses procenten på 95 % er unden den forudsætning af aflæsningen af afgasse biomasse sker under overfladen og der er enten</t>
  </si>
  <si>
    <t>Kvæg - Antal DE x Tons gødning /DE</t>
  </si>
  <si>
    <t>Kvæg -  Kg N pr. tons/(Tonsgødning/DE x aktuelt TS)</t>
  </si>
  <si>
    <t xml:space="preserve"> </t>
  </si>
  <si>
    <t>Ud fra aktuelt TS og produktion af gødning</t>
  </si>
  <si>
    <t>Slagtesvin, (aktuelt mængde*standart udnyttelses værdi)</t>
  </si>
  <si>
    <t>Må kun udfyldes ved mangel på areal ellres bliver beregning i "beregning uden" linje 122 forkert</t>
  </si>
  <si>
    <r>
      <t xml:space="preserve">Husdyrgødning afsat til Maabjerg BioEnergy, </t>
    </r>
    <r>
      <rPr>
        <b/>
        <sz val="10"/>
        <color rgb="FFFF0000"/>
        <rFont val="Arial"/>
        <family val="2"/>
      </rPr>
      <t>salg nota</t>
    </r>
  </si>
  <si>
    <t>Indhold kg/ton (akk. Analyse) - seneste prøve fra MBE</t>
  </si>
  <si>
    <t>Merudbytte kurve afhængig</t>
  </si>
  <si>
    <t>Merudbytte i kr. af total areal</t>
  </si>
  <si>
    <t>pct</t>
  </si>
  <si>
    <t>Brug af egne afgrøder som foder - fra foderplan</t>
  </si>
  <si>
    <t>Salg af gødning til MBE og Behandlingsgebyr</t>
  </si>
  <si>
    <t xml:space="preserve">Omregninge til Hkg kerne. </t>
  </si>
  <si>
    <t>Kg N</t>
  </si>
  <si>
    <t>Hvor meget giver 21 kg N i merudbytte??</t>
  </si>
  <si>
    <t>Lovkrav</t>
  </si>
  <si>
    <t>afh af kommune krav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</si>
</sst>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#,##0.0"/>
    <numFmt numFmtId="166" formatCode="#,##0.00_ ;\-#,##0.00\ "/>
  </numFmts>
  <fonts count="3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9" tint="-0.249977111117893"/>
      <name val="Arial"/>
      <family val="2"/>
    </font>
    <font>
      <b/>
      <sz val="12"/>
      <color rgb="FF0000FF"/>
      <name val="Arial"/>
      <family val="2"/>
    </font>
    <font>
      <sz val="8"/>
      <color rgb="FF0000FF"/>
      <name val="Arial"/>
      <family val="2"/>
    </font>
    <font>
      <b/>
      <sz val="10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2" fillId="0" borderId="0"/>
    <xf numFmtId="0" fontId="14" fillId="0" borderId="0"/>
    <xf numFmtId="164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9" fillId="0" borderId="0" xfId="1" applyFont="1"/>
    <xf numFmtId="3" fontId="9" fillId="0" borderId="0" xfId="1" applyNumberFormat="1" applyFont="1"/>
    <xf numFmtId="0" fontId="7" fillId="0" borderId="0" xfId="1" applyFont="1"/>
    <xf numFmtId="3" fontId="7" fillId="0" borderId="0" xfId="1" applyNumberFormat="1" applyFont="1"/>
    <xf numFmtId="0" fontId="0" fillId="0" borderId="0" xfId="0" applyAlignment="1">
      <alignment vertical="center"/>
    </xf>
    <xf numFmtId="0" fontId="7" fillId="0" borderId="0" xfId="1" applyFont="1" applyBorder="1"/>
    <xf numFmtId="3" fontId="7" fillId="0" borderId="0" xfId="1" applyNumberFormat="1" applyFont="1" applyBorder="1"/>
    <xf numFmtId="3" fontId="7" fillId="2" borderId="1" xfId="1" applyNumberFormat="1" applyFont="1" applyFill="1" applyBorder="1"/>
    <xf numFmtId="0" fontId="7" fillId="0" borderId="2" xfId="1" applyFont="1" applyBorder="1"/>
    <xf numFmtId="0" fontId="7" fillId="0" borderId="0" xfId="1" applyFont="1" applyFill="1" applyBorder="1"/>
    <xf numFmtId="0" fontId="9" fillId="2" borderId="2" xfId="1" applyFont="1" applyFill="1" applyBorder="1"/>
    <xf numFmtId="3" fontId="9" fillId="2" borderId="2" xfId="1" applyNumberFormat="1" applyFont="1" applyFill="1" applyBorder="1"/>
    <xf numFmtId="0" fontId="7" fillId="2" borderId="2" xfId="1" applyFont="1" applyFill="1" applyBorder="1"/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center"/>
    </xf>
    <xf numFmtId="0" fontId="10" fillId="2" borderId="12" xfId="1" applyFont="1" applyFill="1" applyBorder="1"/>
    <xf numFmtId="0" fontId="9" fillId="2" borderId="13" xfId="1" applyFont="1" applyFill="1" applyBorder="1"/>
    <xf numFmtId="0" fontId="10" fillId="2" borderId="13" xfId="1" applyFont="1" applyFill="1" applyBorder="1"/>
    <xf numFmtId="3" fontId="7" fillId="2" borderId="13" xfId="1" applyNumberFormat="1" applyFont="1" applyFill="1" applyBorder="1"/>
    <xf numFmtId="3" fontId="7" fillId="2" borderId="14" xfId="1" applyNumberFormat="1" applyFont="1" applyFill="1" applyBorder="1" applyAlignment="1">
      <alignment horizontal="center"/>
    </xf>
    <xf numFmtId="0" fontId="5" fillId="2" borderId="15" xfId="1" applyFont="1" applyFill="1" applyBorder="1"/>
    <xf numFmtId="3" fontId="5" fillId="2" borderId="15" xfId="1" applyNumberFormat="1" applyFont="1" applyFill="1" applyBorder="1"/>
    <xf numFmtId="3" fontId="5" fillId="2" borderId="16" xfId="1" applyNumberFormat="1" applyFont="1" applyFill="1" applyBorder="1"/>
    <xf numFmtId="0" fontId="7" fillId="2" borderId="9" xfId="1" applyFont="1" applyFill="1" applyBorder="1"/>
    <xf numFmtId="0" fontId="5" fillId="0" borderId="0" xfId="1" applyFont="1" applyFill="1" applyBorder="1"/>
    <xf numFmtId="3" fontId="5" fillId="0" borderId="0" xfId="1" applyNumberFormat="1" applyFont="1" applyFill="1" applyBorder="1"/>
    <xf numFmtId="0" fontId="7" fillId="2" borderId="11" xfId="1" applyFont="1" applyFill="1" applyBorder="1"/>
    <xf numFmtId="0" fontId="9" fillId="0" borderId="0" xfId="1" applyFont="1" applyBorder="1"/>
    <xf numFmtId="9" fontId="13" fillId="0" borderId="0" xfId="1" applyNumberFormat="1" applyFont="1" applyFill="1" applyBorder="1"/>
    <xf numFmtId="3" fontId="7" fillId="2" borderId="17" xfId="1" applyNumberFormat="1" applyFont="1" applyFill="1" applyBorder="1"/>
    <xf numFmtId="0" fontId="5" fillId="2" borderId="19" xfId="1" applyFont="1" applyFill="1" applyBorder="1"/>
    <xf numFmtId="0" fontId="4" fillId="0" borderId="0" xfId="1" applyFont="1" applyBorder="1"/>
    <xf numFmtId="0" fontId="4" fillId="0" borderId="2" xfId="1" applyFont="1" applyBorder="1"/>
    <xf numFmtId="0" fontId="3" fillId="2" borderId="7" xfId="1" applyFont="1" applyFill="1" applyBorder="1"/>
    <xf numFmtId="0" fontId="4" fillId="0" borderId="5" xfId="1" applyFont="1" applyBorder="1"/>
    <xf numFmtId="3" fontId="12" fillId="0" borderId="6" xfId="1" applyNumberFormat="1" applyFont="1" applyBorder="1"/>
    <xf numFmtId="14" fontId="11" fillId="2" borderId="8" xfId="1" applyNumberFormat="1" applyFont="1" applyFill="1" applyBorder="1"/>
    <xf numFmtId="0" fontId="12" fillId="0" borderId="10" xfId="1" applyFont="1" applyBorder="1"/>
    <xf numFmtId="0" fontId="12" fillId="0" borderId="1" xfId="1" applyFont="1" applyBorder="1"/>
    <xf numFmtId="3" fontId="12" fillId="2" borderId="4" xfId="1" applyNumberFormat="1" applyFont="1" applyFill="1" applyBorder="1" applyAlignment="1">
      <alignment horizontal="center" wrapText="1"/>
    </xf>
    <xf numFmtId="0" fontId="5" fillId="0" borderId="0" xfId="1" applyFont="1"/>
    <xf numFmtId="0" fontId="12" fillId="2" borderId="20" xfId="1" applyFont="1" applyFill="1" applyBorder="1"/>
    <xf numFmtId="0" fontId="4" fillId="2" borderId="17" xfId="1" applyFont="1" applyFill="1" applyBorder="1"/>
    <xf numFmtId="0" fontId="7" fillId="2" borderId="17" xfId="1" applyFont="1" applyFill="1" applyBorder="1"/>
    <xf numFmtId="0" fontId="4" fillId="0" borderId="11" xfId="1" applyFont="1" applyBorder="1"/>
    <xf numFmtId="0" fontId="4" fillId="0" borderId="17" xfId="1" applyFont="1" applyBorder="1"/>
    <xf numFmtId="0" fontId="4" fillId="0" borderId="20" xfId="1" applyFont="1" applyBorder="1"/>
    <xf numFmtId="0" fontId="7" fillId="0" borderId="5" xfId="1" applyFont="1" applyBorder="1"/>
    <xf numFmtId="0" fontId="7" fillId="0" borderId="17" xfId="1" applyFont="1" applyBorder="1"/>
    <xf numFmtId="3" fontId="6" fillId="0" borderId="17" xfId="1" applyNumberFormat="1" applyFont="1" applyBorder="1"/>
    <xf numFmtId="0" fontId="4" fillId="2" borderId="1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3" fontId="6" fillId="0" borderId="5" xfId="1" applyNumberFormat="1" applyFont="1" applyBorder="1"/>
    <xf numFmtId="3" fontId="6" fillId="0" borderId="3" xfId="1" applyNumberFormat="1" applyFont="1" applyBorder="1"/>
    <xf numFmtId="3" fontId="6" fillId="0" borderId="4" xfId="1" applyNumberFormat="1" applyFont="1" applyBorder="1"/>
    <xf numFmtId="3" fontId="12" fillId="0" borderId="10" xfId="1" applyNumberFormat="1" applyFont="1" applyBorder="1"/>
    <xf numFmtId="3" fontId="4" fillId="0" borderId="3" xfId="1" applyNumberFormat="1" applyFont="1" applyBorder="1"/>
    <xf numFmtId="4" fontId="6" fillId="0" borderId="3" xfId="1" applyNumberFormat="1" applyFont="1" applyBorder="1"/>
    <xf numFmtId="3" fontId="4" fillId="0" borderId="4" xfId="1" applyNumberFormat="1" applyFont="1" applyBorder="1"/>
    <xf numFmtId="3" fontId="6" fillId="0" borderId="20" xfId="1" applyNumberFormat="1" applyFont="1" applyBorder="1"/>
    <xf numFmtId="0" fontId="4" fillId="0" borderId="5" xfId="1" applyFont="1" applyBorder="1" applyAlignment="1">
      <alignment horizontal="left" indent="1"/>
    </xf>
    <xf numFmtId="3" fontId="6" fillId="0" borderId="0" xfId="1" applyNumberFormat="1" applyFont="1" applyBorder="1"/>
    <xf numFmtId="4" fontId="6" fillId="0" borderId="0" xfId="1" applyNumberFormat="1" applyFont="1" applyBorder="1"/>
    <xf numFmtId="3" fontId="12" fillId="0" borderId="5" xfId="1" applyNumberFormat="1" applyFont="1" applyBorder="1"/>
    <xf numFmtId="3" fontId="12" fillId="0" borderId="3" xfId="1" applyNumberFormat="1" applyFont="1" applyBorder="1"/>
    <xf numFmtId="0" fontId="4" fillId="2" borderId="20" xfId="1" applyFont="1" applyFill="1" applyBorder="1" applyAlignment="1"/>
    <xf numFmtId="0" fontId="4" fillId="2" borderId="18" xfId="1" applyFont="1" applyFill="1" applyBorder="1" applyAlignment="1"/>
    <xf numFmtId="0" fontId="1" fillId="0" borderId="0" xfId="7"/>
    <xf numFmtId="0" fontId="16" fillId="0" borderId="0" xfId="7" applyFont="1"/>
    <xf numFmtId="0" fontId="17" fillId="0" borderId="0" xfId="7" applyFont="1" applyFill="1" applyBorder="1"/>
    <xf numFmtId="0" fontId="16" fillId="0" borderId="0" xfId="7" applyFont="1" applyBorder="1"/>
    <xf numFmtId="3" fontId="16" fillId="0" borderId="0" xfId="7" applyNumberFormat="1" applyFont="1" applyBorder="1"/>
    <xf numFmtId="2" fontId="16" fillId="0" borderId="0" xfId="7" applyNumberFormat="1" applyFont="1" applyFill="1" applyBorder="1"/>
    <xf numFmtId="1" fontId="16" fillId="0" borderId="0" xfId="7" applyNumberFormat="1" applyFont="1" applyBorder="1"/>
    <xf numFmtId="0" fontId="4" fillId="2" borderId="4" xfId="1" applyFont="1" applyFill="1" applyBorder="1" applyAlignment="1">
      <alignment horizontal="center" wrapText="1"/>
    </xf>
    <xf numFmtId="4" fontId="6" fillId="0" borderId="5" xfId="1" applyNumberFormat="1" applyFont="1" applyBorder="1"/>
    <xf numFmtId="4" fontId="6" fillId="0" borderId="17" xfId="1" applyNumberFormat="1" applyFont="1" applyBorder="1"/>
    <xf numFmtId="4" fontId="12" fillId="0" borderId="10" xfId="1" applyNumberFormat="1" applyFont="1" applyBorder="1"/>
    <xf numFmtId="3" fontId="21" fillId="0" borderId="3" xfId="1" applyNumberFormat="1" applyFont="1" applyBorder="1"/>
    <xf numFmtId="0" fontId="12" fillId="0" borderId="0" xfId="1" applyFont="1" applyBorder="1"/>
    <xf numFmtId="3" fontId="12" fillId="0" borderId="0" xfId="1" applyNumberFormat="1" applyFont="1" applyBorder="1"/>
    <xf numFmtId="0" fontId="4" fillId="2" borderId="17" xfId="1" applyFont="1" applyFill="1" applyBorder="1" applyAlignment="1">
      <alignment horizontal="center" wrapText="1"/>
    </xf>
    <xf numFmtId="3" fontId="21" fillId="0" borderId="4" xfId="1" applyNumberFormat="1" applyFont="1" applyBorder="1"/>
    <xf numFmtId="0" fontId="4" fillId="2" borderId="2" xfId="1" applyFont="1" applyFill="1" applyBorder="1" applyAlignment="1">
      <alignment horizontal="center" wrapText="1"/>
    </xf>
    <xf numFmtId="3" fontId="6" fillId="0" borderId="11" xfId="1" applyNumberFormat="1" applyFont="1" applyBorder="1"/>
    <xf numFmtId="3" fontId="6" fillId="0" borderId="2" xfId="1" applyNumberFormat="1" applyFont="1" applyBorder="1"/>
    <xf numFmtId="4" fontId="6" fillId="0" borderId="20" xfId="1" applyNumberFormat="1" applyFont="1" applyBorder="1"/>
    <xf numFmtId="3" fontId="21" fillId="0" borderId="18" xfId="1" applyNumberFormat="1" applyFont="1" applyBorder="1"/>
    <xf numFmtId="0" fontId="5" fillId="4" borderId="15" xfId="1" applyFont="1" applyFill="1" applyBorder="1"/>
    <xf numFmtId="3" fontId="5" fillId="4" borderId="15" xfId="1" applyNumberFormat="1" applyFont="1" applyFill="1" applyBorder="1"/>
    <xf numFmtId="3" fontId="5" fillId="4" borderId="16" xfId="1" applyNumberFormat="1" applyFont="1" applyFill="1" applyBorder="1"/>
    <xf numFmtId="0" fontId="5" fillId="3" borderId="15" xfId="1" applyFont="1" applyFill="1" applyBorder="1"/>
    <xf numFmtId="3" fontId="5" fillId="3" borderId="15" xfId="1" applyNumberFormat="1" applyFont="1" applyFill="1" applyBorder="1"/>
    <xf numFmtId="3" fontId="5" fillId="3" borderId="16" xfId="1" applyNumberFormat="1" applyFont="1" applyFill="1" applyBorder="1"/>
    <xf numFmtId="0" fontId="5" fillId="3" borderId="9" xfId="1" applyFont="1" applyFill="1" applyBorder="1"/>
    <xf numFmtId="0" fontId="5" fillId="4" borderId="9" xfId="1" applyFont="1" applyFill="1" applyBorder="1"/>
    <xf numFmtId="0" fontId="7" fillId="0" borderId="13" xfId="1" applyFont="1" applyFill="1" applyBorder="1"/>
    <xf numFmtId="0" fontId="5" fillId="0" borderId="13" xfId="1" applyFont="1" applyFill="1" applyBorder="1"/>
    <xf numFmtId="0" fontId="12" fillId="0" borderId="5" xfId="1" applyFont="1" applyBorder="1"/>
    <xf numFmtId="4" fontId="12" fillId="0" borderId="5" xfId="1" applyNumberFormat="1" applyFont="1" applyBorder="1"/>
    <xf numFmtId="165" fontId="22" fillId="0" borderId="5" xfId="1" applyNumberFormat="1" applyFont="1" applyBorder="1"/>
    <xf numFmtId="165" fontId="22" fillId="0" borderId="20" xfId="1" applyNumberFormat="1" applyFont="1" applyBorder="1"/>
    <xf numFmtId="165" fontId="22" fillId="0" borderId="11" xfId="1" applyNumberFormat="1" applyFont="1" applyBorder="1"/>
    <xf numFmtId="165" fontId="22" fillId="0" borderId="18" xfId="1" applyNumberFormat="1" applyFont="1" applyBorder="1"/>
    <xf numFmtId="165" fontId="22" fillId="0" borderId="0" xfId="1" applyNumberFormat="1" applyFont="1" applyBorder="1"/>
    <xf numFmtId="165" fontId="22" fillId="0" borderId="2" xfId="1" applyNumberFormat="1" applyFont="1" applyBorder="1"/>
    <xf numFmtId="0" fontId="4" fillId="2" borderId="11" xfId="1" applyFont="1" applyFill="1" applyBorder="1" applyAlignment="1"/>
    <xf numFmtId="165" fontId="22" fillId="0" borderId="0" xfId="1" applyNumberFormat="1" applyFont="1" applyFill="1" applyBorder="1"/>
    <xf numFmtId="165" fontId="22" fillId="0" borderId="3" xfId="1" applyNumberFormat="1" applyFont="1" applyFill="1" applyBorder="1"/>
    <xf numFmtId="165" fontId="22" fillId="0" borderId="4" xfId="1" applyNumberFormat="1" applyFont="1" applyFill="1" applyBorder="1"/>
    <xf numFmtId="4" fontId="22" fillId="0" borderId="20" xfId="1" applyNumberFormat="1" applyFont="1" applyFill="1" applyBorder="1"/>
    <xf numFmtId="4" fontId="22" fillId="0" borderId="11" xfId="1" applyNumberFormat="1" applyFont="1" applyFill="1" applyBorder="1"/>
    <xf numFmtId="4" fontId="22" fillId="0" borderId="18" xfId="1" applyNumberFormat="1" applyFont="1" applyFill="1" applyBorder="1"/>
    <xf numFmtId="4" fontId="22" fillId="0" borderId="5" xfId="1" applyNumberFormat="1" applyFont="1" applyFill="1" applyBorder="1"/>
    <xf numFmtId="4" fontId="22" fillId="0" borderId="0" xfId="1" applyNumberFormat="1" applyFont="1" applyFill="1" applyBorder="1"/>
    <xf numFmtId="4" fontId="22" fillId="0" borderId="3" xfId="1" applyNumberFormat="1" applyFont="1" applyFill="1" applyBorder="1"/>
    <xf numFmtId="4" fontId="23" fillId="0" borderId="5" xfId="1" applyNumberFormat="1" applyFont="1" applyFill="1" applyBorder="1"/>
    <xf numFmtId="4" fontId="23" fillId="0" borderId="0" xfId="1" applyNumberFormat="1" applyFont="1" applyFill="1" applyBorder="1"/>
    <xf numFmtId="4" fontId="23" fillId="0" borderId="3" xfId="1" applyNumberFormat="1" applyFont="1" applyFill="1" applyBorder="1"/>
    <xf numFmtId="4" fontId="22" fillId="0" borderId="17" xfId="1" applyNumberFormat="1" applyFont="1" applyFill="1" applyBorder="1"/>
    <xf numFmtId="4" fontId="22" fillId="0" borderId="2" xfId="1" applyNumberFormat="1" applyFont="1" applyFill="1" applyBorder="1"/>
    <xf numFmtId="4" fontId="22" fillId="0" borderId="4" xfId="1" applyNumberFormat="1" applyFont="1" applyFill="1" applyBorder="1"/>
    <xf numFmtId="9" fontId="22" fillId="0" borderId="11" xfId="6" applyFont="1" applyFill="1" applyBorder="1"/>
    <xf numFmtId="9" fontId="22" fillId="0" borderId="18" xfId="6" applyFont="1" applyFill="1" applyBorder="1"/>
    <xf numFmtId="9" fontId="22" fillId="0" borderId="0" xfId="6" applyFont="1" applyFill="1" applyBorder="1"/>
    <xf numFmtId="9" fontId="22" fillId="0" borderId="3" xfId="6" applyFont="1" applyFill="1" applyBorder="1"/>
    <xf numFmtId="9" fontId="22" fillId="0" borderId="2" xfId="6" applyFont="1" applyFill="1" applyBorder="1"/>
    <xf numFmtId="9" fontId="22" fillId="0" borderId="4" xfId="6" applyFont="1" applyFill="1" applyBorder="1"/>
    <xf numFmtId="166" fontId="22" fillId="0" borderId="5" xfId="5" applyNumberFormat="1" applyFont="1" applyFill="1" applyBorder="1"/>
    <xf numFmtId="166" fontId="22" fillId="0" borderId="0" xfId="5" applyNumberFormat="1" applyFont="1" applyFill="1" applyBorder="1"/>
    <xf numFmtId="166" fontId="22" fillId="0" borderId="3" xfId="5" applyNumberFormat="1" applyFont="1" applyFill="1" applyBorder="1"/>
    <xf numFmtId="166" fontId="22" fillId="0" borderId="17" xfId="5" applyNumberFormat="1" applyFont="1" applyFill="1" applyBorder="1"/>
    <xf numFmtId="166" fontId="22" fillId="0" borderId="2" xfId="5" applyNumberFormat="1" applyFont="1" applyFill="1" applyBorder="1"/>
    <xf numFmtId="166" fontId="22" fillId="0" borderId="4" xfId="5" applyNumberFormat="1" applyFont="1" applyFill="1" applyBorder="1"/>
    <xf numFmtId="0" fontId="5" fillId="5" borderId="15" xfId="1" applyFont="1" applyFill="1" applyBorder="1"/>
    <xf numFmtId="3" fontId="5" fillId="5" borderId="15" xfId="1" applyNumberFormat="1" applyFont="1" applyFill="1" applyBorder="1"/>
    <xf numFmtId="3" fontId="5" fillId="5" borderId="16" xfId="1" applyNumberFormat="1" applyFont="1" applyFill="1" applyBorder="1"/>
    <xf numFmtId="0" fontId="5" fillId="5" borderId="9" xfId="1" applyFont="1" applyFill="1" applyBorder="1"/>
    <xf numFmtId="3" fontId="4" fillId="0" borderId="5" xfId="1" applyNumberFormat="1" applyFont="1" applyBorder="1"/>
    <xf numFmtId="3" fontId="4" fillId="0" borderId="0" xfId="1" applyNumberFormat="1" applyFont="1" applyBorder="1"/>
    <xf numFmtId="3" fontId="4" fillId="0" borderId="0" xfId="1" applyNumberFormat="1" applyFont="1" applyFill="1" applyBorder="1"/>
    <xf numFmtId="3" fontId="4" fillId="0" borderId="3" xfId="1" applyNumberFormat="1" applyFont="1" applyFill="1" applyBorder="1"/>
    <xf numFmtId="9" fontId="4" fillId="0" borderId="0" xfId="6" applyFont="1" applyBorder="1"/>
    <xf numFmtId="3" fontId="12" fillId="0" borderId="1" xfId="1" applyNumberFormat="1" applyFont="1" applyBorder="1"/>
    <xf numFmtId="3" fontId="12" fillId="0" borderId="1" xfId="1" applyNumberFormat="1" applyFont="1" applyFill="1" applyBorder="1"/>
    <xf numFmtId="3" fontId="12" fillId="0" borderId="6" xfId="1" applyNumberFormat="1" applyFont="1" applyFill="1" applyBorder="1"/>
    <xf numFmtId="4" fontId="4" fillId="0" borderId="0" xfId="1" applyNumberFormat="1" applyFont="1" applyFill="1" applyBorder="1"/>
    <xf numFmtId="165" fontId="12" fillId="0" borderId="0" xfId="1" applyNumberFormat="1" applyFont="1" applyFill="1" applyBorder="1"/>
    <xf numFmtId="0" fontId="7" fillId="0" borderId="20" xfId="1" applyFont="1" applyBorder="1"/>
    <xf numFmtId="0" fontId="7" fillId="0" borderId="11" xfId="1" applyFont="1" applyBorder="1"/>
    <xf numFmtId="3" fontId="7" fillId="0" borderId="18" xfId="1" applyNumberFormat="1" applyFont="1" applyBorder="1"/>
    <xf numFmtId="3" fontId="4" fillId="0" borderId="17" xfId="1" applyNumberFormat="1" applyFont="1" applyBorder="1"/>
    <xf numFmtId="3" fontId="4" fillId="0" borderId="2" xfId="1" applyNumberFormat="1" applyFont="1" applyBorder="1"/>
    <xf numFmtId="4" fontId="12" fillId="0" borderId="2" xfId="1" applyNumberFormat="1" applyFont="1" applyFill="1" applyBorder="1"/>
    <xf numFmtId="3" fontId="4" fillId="0" borderId="4" xfId="1" applyNumberFormat="1" applyFont="1" applyFill="1" applyBorder="1"/>
    <xf numFmtId="4" fontId="4" fillId="0" borderId="5" xfId="1" applyNumberFormat="1" applyFont="1" applyBorder="1"/>
    <xf numFmtId="4" fontId="4" fillId="0" borderId="0" xfId="1" applyNumberFormat="1" applyFont="1" applyBorder="1"/>
    <xf numFmtId="4" fontId="4" fillId="0" borderId="3" xfId="1" applyNumberFormat="1" applyFont="1" applyFill="1" applyBorder="1"/>
    <xf numFmtId="4" fontId="4" fillId="0" borderId="20" xfId="1" applyNumberFormat="1" applyFont="1" applyBorder="1"/>
    <xf numFmtId="4" fontId="4" fillId="0" borderId="11" xfId="1" applyNumberFormat="1" applyFont="1" applyBorder="1"/>
    <xf numFmtId="4" fontId="4" fillId="0" borderId="11" xfId="1" applyNumberFormat="1" applyFont="1" applyFill="1" applyBorder="1"/>
    <xf numFmtId="4" fontId="4" fillId="0" borderId="18" xfId="1" applyNumberFormat="1" applyFont="1" applyFill="1" applyBorder="1"/>
    <xf numFmtId="4" fontId="4" fillId="0" borderId="17" xfId="1" applyNumberFormat="1" applyFont="1" applyBorder="1"/>
    <xf numFmtId="4" fontId="4" fillId="0" borderId="2" xfId="1" applyNumberFormat="1" applyFont="1" applyBorder="1"/>
    <xf numFmtId="4" fontId="4" fillId="0" borderId="2" xfId="1" applyNumberFormat="1" applyFont="1" applyFill="1" applyBorder="1"/>
    <xf numFmtId="4" fontId="4" fillId="0" borderId="4" xfId="1" applyNumberFormat="1" applyFont="1" applyFill="1" applyBorder="1"/>
    <xf numFmtId="0" fontId="4" fillId="2" borderId="24" xfId="1" applyFont="1" applyFill="1" applyBorder="1" applyAlignment="1"/>
    <xf numFmtId="0" fontId="4" fillId="2" borderId="22" xfId="1" applyFont="1" applyFill="1" applyBorder="1" applyAlignment="1">
      <alignment horizontal="center" wrapText="1"/>
    </xf>
    <xf numFmtId="3" fontId="7" fillId="0" borderId="5" xfId="1" applyNumberFormat="1" applyFont="1" applyBorder="1"/>
    <xf numFmtId="4" fontId="4" fillId="0" borderId="24" xfId="1" applyNumberFormat="1" applyFont="1" applyFill="1" applyBorder="1"/>
    <xf numFmtId="3" fontId="4" fillId="0" borderId="23" xfId="1" applyNumberFormat="1" applyFont="1" applyFill="1" applyBorder="1"/>
    <xf numFmtId="3" fontId="7" fillId="0" borderId="17" xfId="1" applyNumberFormat="1" applyFont="1" applyBorder="1"/>
    <xf numFmtId="3" fontId="4" fillId="0" borderId="22" xfId="1" applyNumberFormat="1" applyFont="1" applyFill="1" applyBorder="1"/>
    <xf numFmtId="4" fontId="12" fillId="0" borderId="0" xfId="1" applyNumberFormat="1" applyFont="1" applyBorder="1"/>
    <xf numFmtId="4" fontId="12" fillId="0" borderId="3" xfId="1" applyNumberFormat="1" applyFont="1" applyFill="1" applyBorder="1"/>
    <xf numFmtId="4" fontId="12" fillId="0" borderId="23" xfId="1" applyNumberFormat="1" applyFont="1" applyFill="1" applyBorder="1"/>
    <xf numFmtId="3" fontId="12" fillId="0" borderId="0" xfId="1" applyNumberFormat="1" applyFont="1"/>
    <xf numFmtId="0" fontId="12" fillId="0" borderId="0" xfId="1" applyFont="1"/>
    <xf numFmtId="3" fontId="12" fillId="0" borderId="21" xfId="1" applyNumberFormat="1" applyFont="1" applyFill="1" applyBorder="1"/>
    <xf numFmtId="0" fontId="12" fillId="0" borderId="2" xfId="1" applyFont="1" applyBorder="1"/>
    <xf numFmtId="4" fontId="12" fillId="0" borderId="17" xfId="1" applyNumberFormat="1" applyFont="1" applyBorder="1"/>
    <xf numFmtId="4" fontId="12" fillId="0" borderId="2" xfId="1" applyNumberFormat="1" applyFont="1" applyBorder="1"/>
    <xf numFmtId="4" fontId="12" fillId="0" borderId="4" xfId="1" applyNumberFormat="1" applyFont="1" applyFill="1" applyBorder="1"/>
    <xf numFmtId="4" fontId="12" fillId="0" borderId="22" xfId="1" applyNumberFormat="1" applyFont="1" applyFill="1" applyBorder="1"/>
    <xf numFmtId="165" fontId="7" fillId="0" borderId="0" xfId="1" applyNumberFormat="1" applyFont="1" applyBorder="1"/>
    <xf numFmtId="3" fontId="4" fillId="0" borderId="0" xfId="1" applyNumberFormat="1" applyFont="1" applyBorder="1" applyAlignment="1">
      <alignment horizontal="center" wrapText="1"/>
    </xf>
    <xf numFmtId="3" fontId="7" fillId="0" borderId="20" xfId="1" applyNumberFormat="1" applyFont="1" applyBorder="1"/>
    <xf numFmtId="3" fontId="4" fillId="0" borderId="11" xfId="1" applyNumberFormat="1" applyFont="1" applyBorder="1"/>
    <xf numFmtId="3" fontId="4" fillId="0" borderId="18" xfId="1" applyNumberFormat="1" applyFont="1" applyFill="1" applyBorder="1"/>
    <xf numFmtId="0" fontId="4" fillId="0" borderId="24" xfId="1" applyFont="1" applyBorder="1"/>
    <xf numFmtId="0" fontId="7" fillId="2" borderId="24" xfId="1" applyFont="1" applyFill="1" applyBorder="1"/>
    <xf numFmtId="0" fontId="4" fillId="2" borderId="22" xfId="1" applyFont="1" applyFill="1" applyBorder="1" applyAlignment="1">
      <alignment horizontal="center"/>
    </xf>
    <xf numFmtId="0" fontId="7" fillId="2" borderId="18" xfId="1" applyFont="1" applyFill="1" applyBorder="1"/>
    <xf numFmtId="3" fontId="12" fillId="0" borderId="3" xfId="1" applyNumberFormat="1" applyFont="1" applyFill="1" applyBorder="1"/>
    <xf numFmtId="0" fontId="4" fillId="2" borderId="2" xfId="1" applyFont="1" applyFill="1" applyBorder="1" applyAlignment="1">
      <alignment horizontal="center"/>
    </xf>
    <xf numFmtId="3" fontId="7" fillId="0" borderId="3" xfId="1" applyNumberFormat="1" applyFont="1" applyBorder="1"/>
    <xf numFmtId="4" fontId="24" fillId="0" borderId="23" xfId="1" applyNumberFormat="1" applyFont="1" applyFill="1" applyBorder="1"/>
    <xf numFmtId="0" fontId="4" fillId="7" borderId="24" xfId="1" applyFont="1" applyFill="1" applyBorder="1" applyAlignment="1"/>
    <xf numFmtId="3" fontId="7" fillId="0" borderId="23" xfId="1" applyNumberFormat="1" applyFont="1" applyBorder="1"/>
    <xf numFmtId="3" fontId="7" fillId="0" borderId="22" xfId="1" applyNumberFormat="1" applyFont="1" applyBorder="1"/>
    <xf numFmtId="3" fontId="12" fillId="0" borderId="21" xfId="1" applyNumberFormat="1" applyFont="1" applyBorder="1"/>
    <xf numFmtId="4" fontId="25" fillId="7" borderId="23" xfId="1" applyNumberFormat="1" applyFont="1" applyFill="1" applyBorder="1"/>
    <xf numFmtId="4" fontId="25" fillId="7" borderId="22" xfId="1" applyNumberFormat="1" applyFont="1" applyFill="1" applyBorder="1"/>
    <xf numFmtId="4" fontId="25" fillId="7" borderId="21" xfId="1" applyNumberFormat="1" applyFont="1" applyFill="1" applyBorder="1"/>
    <xf numFmtId="0" fontId="25" fillId="7" borderId="22" xfId="1" applyFont="1" applyFill="1" applyBorder="1" applyAlignment="1">
      <alignment horizontal="center" wrapText="1"/>
    </xf>
    <xf numFmtId="4" fontId="6" fillId="6" borderId="20" xfId="1" applyNumberFormat="1" applyFont="1" applyFill="1" applyBorder="1"/>
    <xf numFmtId="3" fontId="6" fillId="6" borderId="11" xfId="1" applyNumberFormat="1" applyFont="1" applyFill="1" applyBorder="1"/>
    <xf numFmtId="3" fontId="6" fillId="6" borderId="5" xfId="1" applyNumberFormat="1" applyFont="1" applyFill="1" applyBorder="1"/>
    <xf numFmtId="3" fontId="6" fillId="6" borderId="0" xfId="1" applyNumberFormat="1" applyFont="1" applyFill="1" applyBorder="1"/>
    <xf numFmtId="3" fontId="6" fillId="6" borderId="17" xfId="1" applyNumberFormat="1" applyFont="1" applyFill="1" applyBorder="1"/>
    <xf numFmtId="3" fontId="6" fillId="6" borderId="2" xfId="1" applyNumberFormat="1" applyFont="1" applyFill="1" applyBorder="1"/>
    <xf numFmtId="165" fontId="7" fillId="0" borderId="23" xfId="1" applyNumberFormat="1" applyFont="1" applyBorder="1"/>
    <xf numFmtId="3" fontId="6" fillId="0" borderId="18" xfId="1" applyNumberFormat="1" applyFont="1" applyBorder="1"/>
    <xf numFmtId="3" fontId="7" fillId="0" borderId="24" xfId="1" applyNumberFormat="1" applyFont="1" applyBorder="1"/>
    <xf numFmtId="4" fontId="26" fillId="0" borderId="5" xfId="1" applyNumberFormat="1" applyFont="1" applyFill="1" applyBorder="1"/>
    <xf numFmtId="4" fontId="26" fillId="0" borderId="0" xfId="1" applyNumberFormat="1" applyFont="1" applyFill="1" applyBorder="1"/>
    <xf numFmtId="4" fontId="25" fillId="0" borderId="23" xfId="1" applyNumberFormat="1" applyFont="1" applyFill="1" applyBorder="1"/>
    <xf numFmtId="4" fontId="25" fillId="0" borderId="24" xfId="1" applyNumberFormat="1" applyFont="1" applyFill="1" applyBorder="1"/>
    <xf numFmtId="3" fontId="7" fillId="0" borderId="4" xfId="1" applyNumberFormat="1" applyFont="1" applyBorder="1"/>
    <xf numFmtId="4" fontId="25" fillId="0" borderId="22" xfId="1" applyNumberFormat="1" applyFont="1" applyFill="1" applyBorder="1"/>
    <xf numFmtId="2" fontId="16" fillId="0" borderId="0" xfId="7" applyNumberFormat="1" applyFont="1" applyBorder="1"/>
    <xf numFmtId="3" fontId="18" fillId="0" borderId="0" xfId="7" applyNumberFormat="1" applyFont="1" applyBorder="1"/>
    <xf numFmtId="3" fontId="22" fillId="0" borderId="5" xfId="1" applyNumberFormat="1" applyFont="1" applyBorder="1"/>
    <xf numFmtId="3" fontId="12" fillId="0" borderId="23" xfId="1" applyNumberFormat="1" applyFont="1" applyFill="1" applyBorder="1"/>
    <xf numFmtId="4" fontId="22" fillId="0" borderId="3" xfId="1" applyNumberFormat="1" applyFont="1" applyBorder="1"/>
    <xf numFmtId="4" fontId="7" fillId="0" borderId="3" xfId="1" applyNumberFormat="1" applyFont="1" applyBorder="1"/>
    <xf numFmtId="165" fontId="7" fillId="0" borderId="11" xfId="1" applyNumberFormat="1" applyFont="1" applyBorder="1"/>
    <xf numFmtId="3" fontId="4" fillId="0" borderId="24" xfId="1" applyNumberFormat="1" applyFont="1" applyFill="1" applyBorder="1"/>
    <xf numFmtId="165" fontId="12" fillId="0" borderId="2" xfId="1" applyNumberFormat="1" applyFont="1" applyBorder="1"/>
    <xf numFmtId="4" fontId="12" fillId="0" borderId="4" xfId="1" applyNumberFormat="1" applyFont="1" applyBorder="1"/>
    <xf numFmtId="3" fontId="12" fillId="0" borderId="22" xfId="1" applyNumberFormat="1" applyFont="1" applyFill="1" applyBorder="1"/>
    <xf numFmtId="0" fontId="4" fillId="0" borderId="0" xfId="1" applyFont="1"/>
    <xf numFmtId="0" fontId="22" fillId="0" borderId="0" xfId="1" applyFont="1" applyBorder="1"/>
    <xf numFmtId="10" fontId="22" fillId="0" borderId="0" xfId="6" applyNumberFormat="1" applyFont="1" applyBorder="1"/>
    <xf numFmtId="3" fontId="22" fillId="0" borderId="0" xfId="1" applyNumberFormat="1" applyFont="1" applyBorder="1"/>
    <xf numFmtId="4" fontId="4" fillId="0" borderId="3" xfId="1" applyNumberFormat="1" applyFont="1" applyBorder="1"/>
    <xf numFmtId="4" fontId="22" fillId="0" borderId="23" xfId="1" applyNumberFormat="1" applyFont="1" applyBorder="1"/>
    <xf numFmtId="3" fontId="4" fillId="0" borderId="23" xfId="1" applyNumberFormat="1" applyFont="1" applyBorder="1"/>
    <xf numFmtId="3" fontId="22" fillId="0" borderId="23" xfId="1" applyNumberFormat="1" applyFont="1" applyBorder="1"/>
    <xf numFmtId="165" fontId="4" fillId="0" borderId="5" xfId="1" applyNumberFormat="1" applyFont="1" applyBorder="1"/>
    <xf numFmtId="3" fontId="7" fillId="0" borderId="11" xfId="1" applyNumberFormat="1" applyFont="1" applyBorder="1"/>
    <xf numFmtId="3" fontId="7" fillId="0" borderId="2" xfId="1" applyNumberFormat="1" applyFont="1" applyBorder="1"/>
    <xf numFmtId="165" fontId="4" fillId="0" borderId="0" xfId="1" applyNumberFormat="1" applyFont="1" applyBorder="1"/>
    <xf numFmtId="0" fontId="4" fillId="0" borderId="20" xfId="1" applyFont="1" applyBorder="1" applyAlignment="1">
      <alignment horizontal="left" indent="1"/>
    </xf>
    <xf numFmtId="4" fontId="6" fillId="0" borderId="18" xfId="1" applyNumberFormat="1" applyFont="1" applyBorder="1"/>
    <xf numFmtId="0" fontId="4" fillId="0" borderId="5" xfId="1" applyFont="1" applyBorder="1" applyAlignment="1">
      <alignment horizontal="left"/>
    </xf>
    <xf numFmtId="0" fontId="4" fillId="0" borderId="3" xfId="1" applyFont="1" applyBorder="1"/>
    <xf numFmtId="4" fontId="7" fillId="0" borderId="5" xfId="1" applyNumberFormat="1" applyFont="1" applyBorder="1"/>
    <xf numFmtId="0" fontId="7" fillId="0" borderId="0" xfId="1" applyFont="1" applyBorder="1" applyAlignment="1">
      <alignment horizontal="right"/>
    </xf>
    <xf numFmtId="2" fontId="22" fillId="0" borderId="0" xfId="1" applyNumberFormat="1" applyFont="1"/>
    <xf numFmtId="2" fontId="7" fillId="0" borderId="0" xfId="1" applyNumberFormat="1" applyFont="1"/>
    <xf numFmtId="2" fontId="4" fillId="0" borderId="0" xfId="1" applyNumberFormat="1" applyFont="1"/>
    <xf numFmtId="0" fontId="4" fillId="0" borderId="5" xfId="1" applyFont="1" applyFill="1" applyBorder="1"/>
    <xf numFmtId="0" fontId="12" fillId="8" borderId="10" xfId="1" applyFont="1" applyFill="1" applyBorder="1"/>
    <xf numFmtId="0" fontId="12" fillId="8" borderId="1" xfId="1" applyFont="1" applyFill="1" applyBorder="1"/>
    <xf numFmtId="3" fontId="12" fillId="8" borderId="1" xfId="1" applyNumberFormat="1" applyFont="1" applyFill="1" applyBorder="1"/>
    <xf numFmtId="3" fontId="12" fillId="8" borderId="6" xfId="1" applyNumberFormat="1" applyFont="1" applyFill="1" applyBorder="1"/>
    <xf numFmtId="10" fontId="6" fillId="0" borderId="2" xfId="6" applyNumberFormat="1" applyFont="1" applyBorder="1"/>
    <xf numFmtId="4" fontId="22" fillId="0" borderId="23" xfId="1" applyNumberFormat="1" applyFont="1" applyFill="1" applyBorder="1"/>
    <xf numFmtId="3" fontId="4" fillId="6" borderId="23" xfId="1" applyNumberFormat="1" applyFont="1" applyFill="1" applyBorder="1"/>
    <xf numFmtId="3" fontId="12" fillId="6" borderId="21" xfId="1" applyNumberFormat="1" applyFont="1" applyFill="1" applyBorder="1"/>
    <xf numFmtId="0" fontId="4" fillId="0" borderId="0" xfId="1" applyFont="1" applyBorder="1" applyAlignment="1">
      <alignment horizontal="left" indent="1"/>
    </xf>
    <xf numFmtId="4" fontId="6" fillId="0" borderId="4" xfId="1" applyNumberFormat="1" applyFont="1" applyBorder="1"/>
    <xf numFmtId="0" fontId="9" fillId="0" borderId="0" xfId="1" applyFont="1" applyFill="1"/>
    <xf numFmtId="3" fontId="7" fillId="0" borderId="0" xfId="1" applyNumberFormat="1" applyFont="1" applyFill="1"/>
    <xf numFmtId="0" fontId="7" fillId="0" borderId="4" xfId="1" applyFont="1" applyBorder="1"/>
    <xf numFmtId="4" fontId="4" fillId="0" borderId="5" xfId="1" applyNumberFormat="1" applyFont="1" applyFill="1" applyBorder="1"/>
    <xf numFmtId="4" fontId="22" fillId="0" borderId="0" xfId="1" applyNumberFormat="1" applyFont="1" applyBorder="1"/>
    <xf numFmtId="0" fontId="4" fillId="2" borderId="2" xfId="1" applyFont="1" applyFill="1" applyBorder="1"/>
    <xf numFmtId="4" fontId="22" fillId="0" borderId="2" xfId="1" applyNumberFormat="1" applyFont="1" applyBorder="1"/>
    <xf numFmtId="3" fontId="22" fillId="0" borderId="2" xfId="1" applyNumberFormat="1" applyFont="1" applyBorder="1"/>
    <xf numFmtId="0" fontId="4" fillId="0" borderId="0" xfId="1" applyFont="1" applyAlignment="1">
      <alignment horizontal="center" wrapText="1"/>
    </xf>
    <xf numFmtId="4" fontId="6" fillId="0" borderId="20" xfId="1" applyNumberFormat="1" applyFont="1" applyFill="1" applyBorder="1"/>
    <xf numFmtId="3" fontId="6" fillId="0" borderId="11" xfId="1" applyNumberFormat="1" applyFont="1" applyFill="1" applyBorder="1"/>
    <xf numFmtId="3" fontId="6" fillId="0" borderId="5" xfId="1" applyNumberFormat="1" applyFont="1" applyFill="1" applyBorder="1"/>
    <xf numFmtId="3" fontId="6" fillId="0" borderId="0" xfId="1" applyNumberFormat="1" applyFont="1" applyFill="1" applyBorder="1"/>
    <xf numFmtId="3" fontId="6" fillId="0" borderId="17" xfId="1" applyNumberFormat="1" applyFont="1" applyFill="1" applyBorder="1"/>
    <xf numFmtId="3" fontId="6" fillId="0" borderId="2" xfId="1" applyNumberFormat="1" applyFont="1" applyFill="1" applyBorder="1"/>
    <xf numFmtId="0" fontId="27" fillId="3" borderId="15" xfId="1" applyFont="1" applyFill="1" applyBorder="1"/>
    <xf numFmtId="14" fontId="28" fillId="2" borderId="8" xfId="1" applyNumberFormat="1" applyFont="1" applyFill="1" applyBorder="1"/>
    <xf numFmtId="2" fontId="12" fillId="0" borderId="0" xfId="1" applyNumberFormat="1" applyFont="1" applyBorder="1"/>
    <xf numFmtId="4" fontId="12" fillId="0" borderId="0" xfId="1" applyNumberFormat="1" applyFont="1" applyFill="1" applyBorder="1"/>
    <xf numFmtId="0" fontId="12" fillId="8" borderId="17" xfId="1" applyFont="1" applyFill="1" applyBorder="1"/>
    <xf numFmtId="0" fontId="12" fillId="8" borderId="2" xfId="1" applyFont="1" applyFill="1" applyBorder="1"/>
    <xf numFmtId="165" fontId="12" fillId="8" borderId="17" xfId="1" applyNumberFormat="1" applyFont="1" applyFill="1" applyBorder="1"/>
    <xf numFmtId="3" fontId="12" fillId="8" borderId="4" xfId="1" applyNumberFormat="1" applyFont="1" applyFill="1" applyBorder="1"/>
    <xf numFmtId="4" fontId="22" fillId="0" borderId="5" xfId="1" applyNumberFormat="1" applyFont="1" applyBorder="1"/>
    <xf numFmtId="4" fontId="22" fillId="0" borderId="17" xfId="1" applyNumberFormat="1" applyFont="1" applyBorder="1"/>
    <xf numFmtId="165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165" fontId="4" fillId="0" borderId="0" xfId="1" applyNumberFormat="1" applyFont="1" applyBorder="1" applyAlignment="1">
      <alignment horizontal="center" wrapText="1"/>
    </xf>
    <xf numFmtId="9" fontId="4" fillId="0" borderId="17" xfId="6" applyFont="1" applyBorder="1"/>
    <xf numFmtId="0" fontId="4" fillId="8" borderId="2" xfId="1" applyFont="1" applyFill="1" applyBorder="1"/>
    <xf numFmtId="0" fontId="4" fillId="4" borderId="0" xfId="1" applyFont="1" applyFill="1" applyBorder="1"/>
    <xf numFmtId="166" fontId="22" fillId="4" borderId="2" xfId="5" applyNumberFormat="1" applyFont="1" applyFill="1" applyBorder="1"/>
    <xf numFmtId="0" fontId="12" fillId="10" borderId="20" xfId="1" applyFont="1" applyFill="1" applyBorder="1"/>
    <xf numFmtId="0" fontId="7" fillId="10" borderId="11" xfId="1" applyFont="1" applyFill="1" applyBorder="1"/>
    <xf numFmtId="0" fontId="4" fillId="4" borderId="22" xfId="1" applyFont="1" applyFill="1" applyBorder="1" applyAlignment="1">
      <alignment horizontal="center" wrapText="1"/>
    </xf>
    <xf numFmtId="0" fontId="23" fillId="9" borderId="0" xfId="1" applyFont="1" applyFill="1"/>
    <xf numFmtId="2" fontId="23" fillId="9" borderId="0" xfId="1" applyNumberFormat="1" applyFont="1" applyFill="1"/>
    <xf numFmtId="3" fontId="4" fillId="11" borderId="5" xfId="1" applyNumberFormat="1" applyFont="1" applyFill="1" applyBorder="1"/>
    <xf numFmtId="4" fontId="7" fillId="0" borderId="0" xfId="1" applyNumberFormat="1" applyFont="1"/>
    <xf numFmtId="165" fontId="7" fillId="11" borderId="0" xfId="1" applyNumberFormat="1" applyFont="1" applyFill="1" applyBorder="1"/>
    <xf numFmtId="4" fontId="23" fillId="0" borderId="5" xfId="1" applyNumberFormat="1" applyFont="1" applyBorder="1"/>
    <xf numFmtId="3" fontId="23" fillId="0" borderId="3" xfId="1" applyNumberFormat="1" applyFont="1" applyBorder="1"/>
    <xf numFmtId="3" fontId="23" fillId="0" borderId="0" xfId="1" applyNumberFormat="1" applyFont="1"/>
    <xf numFmtId="0" fontId="23" fillId="0" borderId="0" xfId="1" applyFont="1"/>
    <xf numFmtId="3" fontId="7" fillId="12" borderId="23" xfId="1" applyNumberFormat="1" applyFont="1" applyFill="1" applyBorder="1"/>
    <xf numFmtId="4" fontId="7" fillId="12" borderId="22" xfId="1" applyNumberFormat="1" applyFont="1" applyFill="1" applyBorder="1"/>
    <xf numFmtId="165" fontId="7" fillId="12" borderId="5" xfId="1" applyNumberFormat="1" applyFont="1" applyFill="1" applyBorder="1"/>
    <xf numFmtId="0" fontId="12" fillId="12" borderId="0" xfId="1" applyFont="1" applyFill="1" applyBorder="1"/>
    <xf numFmtId="0" fontId="29" fillId="13" borderId="2" xfId="1" applyFont="1" applyFill="1" applyBorder="1"/>
    <xf numFmtId="0" fontId="23" fillId="0" borderId="0" xfId="1" applyFont="1" applyBorder="1"/>
    <xf numFmtId="10" fontId="23" fillId="0" borderId="0" xfId="6" applyNumberFormat="1" applyFont="1" applyBorder="1"/>
    <xf numFmtId="3" fontId="7" fillId="12" borderId="0" xfId="1" applyNumberFormat="1" applyFont="1" applyFill="1" applyBorder="1"/>
    <xf numFmtId="3" fontId="4" fillId="11" borderId="0" xfId="1" applyNumberFormat="1" applyFont="1" applyFill="1" applyBorder="1"/>
    <xf numFmtId="3" fontId="12" fillId="11" borderId="1" xfId="1" applyNumberFormat="1" applyFont="1" applyFill="1" applyBorder="1"/>
    <xf numFmtId="4" fontId="12" fillId="11" borderId="2" xfId="1" applyNumberFormat="1" applyFont="1" applyFill="1" applyBorder="1"/>
    <xf numFmtId="4" fontId="4" fillId="11" borderId="0" xfId="1" applyNumberFormat="1" applyFont="1" applyFill="1" applyBorder="1"/>
    <xf numFmtId="165" fontId="7" fillId="14" borderId="0" xfId="1" applyNumberFormat="1" applyFont="1" applyFill="1" applyBorder="1"/>
    <xf numFmtId="3" fontId="4" fillId="14" borderId="0" xfId="1" applyNumberFormat="1" applyFont="1" applyFill="1" applyBorder="1"/>
    <xf numFmtId="3" fontId="12" fillId="14" borderId="1" xfId="1" applyNumberFormat="1" applyFont="1" applyFill="1" applyBorder="1"/>
    <xf numFmtId="3" fontId="4" fillId="14" borderId="2" xfId="1" applyNumberFormat="1" applyFont="1" applyFill="1" applyBorder="1"/>
    <xf numFmtId="4" fontId="12" fillId="14" borderId="0" xfId="1" applyNumberFormat="1" applyFont="1" applyFill="1" applyBorder="1"/>
    <xf numFmtId="3" fontId="7" fillId="14" borderId="17" xfId="1" applyNumberFormat="1" applyFont="1" applyFill="1" applyBorder="1"/>
    <xf numFmtId="4" fontId="12" fillId="14" borderId="5" xfId="1" applyNumberFormat="1" applyFont="1" applyFill="1" applyBorder="1"/>
    <xf numFmtId="3" fontId="7" fillId="15" borderId="5" xfId="1" applyNumberFormat="1" applyFont="1" applyFill="1" applyBorder="1"/>
    <xf numFmtId="0" fontId="4" fillId="15" borderId="0" xfId="1" applyFont="1" applyFill="1"/>
    <xf numFmtId="4" fontId="4" fillId="15" borderId="23" xfId="1" applyNumberFormat="1" applyFont="1" applyFill="1" applyBorder="1"/>
    <xf numFmtId="0" fontId="5" fillId="0" borderId="9" xfId="1" applyFont="1" applyFill="1" applyBorder="1"/>
    <xf numFmtId="0" fontId="5" fillId="0" borderId="15" xfId="1" applyFont="1" applyFill="1" applyBorder="1"/>
    <xf numFmtId="0" fontId="4" fillId="2" borderId="20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0" borderId="0" xfId="1" applyFont="1" applyBorder="1" applyAlignment="1">
      <alignment wrapText="1"/>
    </xf>
    <xf numFmtId="0" fontId="4" fillId="0" borderId="3" xfId="1" applyFont="1" applyBorder="1" applyAlignment="1">
      <alignment wrapText="1"/>
    </xf>
  </cellXfs>
  <cellStyles count="8">
    <cellStyle name="Komma" xfId="5" builtinId="3"/>
    <cellStyle name="Komma 2" xfId="4"/>
    <cellStyle name="Normal" xfId="0" builtinId="0"/>
    <cellStyle name="Normal 2" xfId="2"/>
    <cellStyle name="Normal 3" xfId="3"/>
    <cellStyle name="Normal 4" xfId="7"/>
    <cellStyle name="Normal_Vestforsyningen-arbejdspapir1" xfId="1"/>
    <cellStyle name="Procent" xfId="6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22860</xdr:rowOff>
    </xdr:from>
    <xdr:to>
      <xdr:col>1</xdr:col>
      <xdr:colOff>1909445</xdr:colOff>
      <xdr:row>2</xdr:row>
      <xdr:rowOff>64770</xdr:rowOff>
    </xdr:to>
    <xdr:pic>
      <xdr:nvPicPr>
        <xdr:cNvPr id="2" name="Picture 2" descr="MBE amba log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13360"/>
          <a:ext cx="2473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22860</xdr:rowOff>
    </xdr:from>
    <xdr:to>
      <xdr:col>1</xdr:col>
      <xdr:colOff>1909445</xdr:colOff>
      <xdr:row>2</xdr:row>
      <xdr:rowOff>64770</xdr:rowOff>
    </xdr:to>
    <xdr:pic>
      <xdr:nvPicPr>
        <xdr:cNvPr id="3" name="Picture 2" descr="MBE amba log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13360"/>
          <a:ext cx="2473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22860</xdr:rowOff>
    </xdr:from>
    <xdr:to>
      <xdr:col>1</xdr:col>
      <xdr:colOff>1909445</xdr:colOff>
      <xdr:row>2</xdr:row>
      <xdr:rowOff>64770</xdr:rowOff>
    </xdr:to>
    <xdr:pic>
      <xdr:nvPicPr>
        <xdr:cNvPr id="2" name="Picture 2" descr="MBE amba log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13360"/>
          <a:ext cx="2473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22860</xdr:rowOff>
    </xdr:from>
    <xdr:to>
      <xdr:col>1</xdr:col>
      <xdr:colOff>1909445</xdr:colOff>
      <xdr:row>2</xdr:row>
      <xdr:rowOff>64770</xdr:rowOff>
    </xdr:to>
    <xdr:pic>
      <xdr:nvPicPr>
        <xdr:cNvPr id="2" name="Picture 2" descr="MBE amba log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13360"/>
          <a:ext cx="2473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22860</xdr:rowOff>
    </xdr:from>
    <xdr:to>
      <xdr:col>1</xdr:col>
      <xdr:colOff>1909445</xdr:colOff>
      <xdr:row>2</xdr:row>
      <xdr:rowOff>64770</xdr:rowOff>
    </xdr:to>
    <xdr:pic>
      <xdr:nvPicPr>
        <xdr:cNvPr id="2" name="Picture 2" descr="MBE amba log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13360"/>
          <a:ext cx="2473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zoomScaleNormal="100" zoomScaleSheetLayoutView="100" workbookViewId="0">
      <pane ySplit="5" topLeftCell="A6" activePane="bottomLeft" state="frozen"/>
      <selection pane="bottomLeft" activeCell="B5" sqref="B5"/>
    </sheetView>
  </sheetViews>
  <sheetFormatPr defaultColWidth="8" defaultRowHeight="12.75" x14ac:dyDescent="0.2"/>
  <cols>
    <col min="1" max="1" width="7.109375" style="3" customWidth="1"/>
    <col min="2" max="2" width="23.44140625" style="3" customWidth="1"/>
    <col min="3" max="5" width="7.5546875" style="3" customWidth="1"/>
    <col min="6" max="9" width="8" style="4" customWidth="1"/>
    <col min="10" max="10" width="6.44140625" style="3" customWidth="1"/>
    <col min="11" max="11" width="9.33203125" style="3" customWidth="1"/>
    <col min="12" max="12" width="7" style="3" customWidth="1"/>
    <col min="13" max="16384" width="8" style="3"/>
  </cols>
  <sheetData>
    <row r="1" spans="1:9" s="1" customFormat="1" ht="15" x14ac:dyDescent="0.2">
      <c r="A1" s="1" t="str">
        <f ca="1">CELL("filnavn",B1)</f>
        <v>C:\Users\SST\AppData\Local\Microsoft\Windows\Temporary Internet Files\Content.Outlook\2FA5JZUZ\[MBE Busines case - Niels Mikkelsen - ver A2.xlsx]Økonomi</v>
      </c>
      <c r="F1" s="2"/>
      <c r="G1" s="2"/>
      <c r="H1" s="2"/>
      <c r="I1" s="2"/>
    </row>
    <row r="2" spans="1:9" s="1" customFormat="1" ht="46.5" customHeight="1" thickBot="1" x14ac:dyDescent="0.3">
      <c r="A2" s="5"/>
      <c r="B2" s="5"/>
      <c r="C2" s="5"/>
      <c r="D2" s="5"/>
      <c r="E2" s="5"/>
      <c r="F2" s="2"/>
      <c r="H2" s="14"/>
      <c r="I2" s="15"/>
    </row>
    <row r="3" spans="1:9" s="1" customFormat="1" ht="20.25" x14ac:dyDescent="0.3">
      <c r="A3" s="16" t="s">
        <v>14</v>
      </c>
      <c r="B3" s="17"/>
      <c r="C3" s="17"/>
      <c r="D3" s="17"/>
      <c r="E3" s="17"/>
      <c r="F3" s="18"/>
      <c r="G3" s="31"/>
      <c r="H3" s="19"/>
      <c r="I3" s="20"/>
    </row>
    <row r="4" spans="1:9" s="1" customFormat="1" ht="16.5" customHeight="1" x14ac:dyDescent="0.2">
      <c r="A4" s="34" t="s">
        <v>7</v>
      </c>
      <c r="B4" s="11"/>
      <c r="C4" s="11"/>
      <c r="D4" s="11"/>
      <c r="E4" s="11"/>
      <c r="F4" s="12"/>
      <c r="G4" s="30" t="s">
        <v>0</v>
      </c>
      <c r="H4" s="8"/>
      <c r="I4" s="37">
        <f>+'Forudsætninger - bedrift'!H4</f>
        <v>41281</v>
      </c>
    </row>
    <row r="5" spans="1:9" s="1" customFormat="1" ht="16.5" thickBot="1" x14ac:dyDescent="0.3">
      <c r="A5" s="24"/>
      <c r="B5" s="21" t="str">
        <f>+'Forudsætninger - bedrift'!D5</f>
        <v>Niels Mikkelsen - Version A2</v>
      </c>
      <c r="C5" s="21"/>
      <c r="D5" s="21"/>
      <c r="E5" s="21"/>
      <c r="F5" s="22"/>
      <c r="G5" s="22"/>
      <c r="H5" s="22"/>
      <c r="I5" s="23"/>
    </row>
    <row r="6" spans="1:9" s="1" customFormat="1" ht="15.75" x14ac:dyDescent="0.25">
      <c r="A6" s="10"/>
      <c r="B6" s="25"/>
      <c r="C6" s="25"/>
      <c r="D6" s="25"/>
      <c r="E6" s="25"/>
      <c r="F6" s="26"/>
      <c r="G6" s="26"/>
      <c r="H6" s="26"/>
      <c r="I6" s="26"/>
    </row>
    <row r="7" spans="1:9" s="1" customFormat="1" ht="15" x14ac:dyDescent="0.2">
      <c r="A7" s="42" t="s">
        <v>156</v>
      </c>
      <c r="B7" s="27"/>
      <c r="C7" s="27"/>
      <c r="D7" s="27"/>
      <c r="E7" s="27"/>
      <c r="F7" s="332" t="s">
        <v>9</v>
      </c>
      <c r="G7" s="333"/>
      <c r="H7" s="332" t="s">
        <v>10</v>
      </c>
      <c r="I7" s="333"/>
    </row>
    <row r="8" spans="1:9" s="1" customFormat="1" ht="15" x14ac:dyDescent="0.2">
      <c r="A8" s="44"/>
      <c r="B8" s="13"/>
      <c r="C8" s="13"/>
      <c r="D8" s="13"/>
      <c r="E8" s="13"/>
      <c r="F8" s="51"/>
      <c r="G8" s="40"/>
      <c r="H8" s="43"/>
      <c r="I8" s="40"/>
    </row>
    <row r="9" spans="1:9" s="1" customFormat="1" ht="15" x14ac:dyDescent="0.2">
      <c r="A9" s="47"/>
      <c r="B9" s="45"/>
      <c r="C9" s="150"/>
      <c r="D9" s="150"/>
      <c r="E9" s="150"/>
      <c r="F9" s="60"/>
      <c r="G9" s="213"/>
      <c r="H9" s="60"/>
      <c r="I9" s="213"/>
    </row>
    <row r="10" spans="1:9" s="1" customFormat="1" ht="15" x14ac:dyDescent="0.2">
      <c r="A10" s="35" t="s">
        <v>256</v>
      </c>
      <c r="B10" s="32"/>
      <c r="C10" s="6"/>
      <c r="D10" s="6"/>
      <c r="E10" s="6"/>
      <c r="F10" s="240">
        <f>+'Forudsætninger - bedrift'!E17+'Forudsætninger - bedrift'!E54</f>
        <v>288</v>
      </c>
      <c r="G10" s="57" t="s">
        <v>85</v>
      </c>
      <c r="H10" s="240">
        <f>+'Forudsætninger - bedrift'!G17+'Forudsætninger - bedrift'!G54</f>
        <v>288</v>
      </c>
      <c r="I10" s="57" t="s">
        <v>85</v>
      </c>
    </row>
    <row r="11" spans="1:9" s="1" customFormat="1" ht="15" x14ac:dyDescent="0.2">
      <c r="A11" s="35" t="s">
        <v>257</v>
      </c>
      <c r="B11" s="32"/>
      <c r="C11" s="6"/>
      <c r="D11" s="6"/>
      <c r="E11" s="6"/>
      <c r="F11" s="240">
        <f>+'Forudsætninger - bedrift'!E74</f>
        <v>288</v>
      </c>
      <c r="G11" s="57" t="s">
        <v>85</v>
      </c>
      <c r="H11" s="240">
        <f>+'Forudsætninger - bedrift'!G74</f>
        <v>288</v>
      </c>
      <c r="I11" s="57" t="s">
        <v>85</v>
      </c>
    </row>
    <row r="12" spans="1:9" s="1" customFormat="1" ht="15" x14ac:dyDescent="0.2">
      <c r="A12" s="35"/>
      <c r="B12" s="32"/>
      <c r="C12" s="6"/>
      <c r="D12" s="6"/>
      <c r="E12" s="6"/>
      <c r="F12" s="240"/>
      <c r="G12" s="57"/>
      <c r="H12" s="240"/>
      <c r="I12" s="57"/>
    </row>
    <row r="13" spans="1:9" s="1" customFormat="1" ht="15" x14ac:dyDescent="0.2">
      <c r="A13" s="35" t="s">
        <v>63</v>
      </c>
      <c r="B13" s="32"/>
      <c r="C13" s="6"/>
      <c r="D13" s="6"/>
      <c r="E13" s="6"/>
      <c r="F13" s="156">
        <f>+'Forudsætninger - bedrift'!E80</f>
        <v>1.4</v>
      </c>
      <c r="G13" s="57" t="s">
        <v>162</v>
      </c>
      <c r="H13" s="156">
        <f>+'Forudsætninger - bedrift'!G80</f>
        <v>1.63</v>
      </c>
      <c r="I13" s="57" t="s">
        <v>162</v>
      </c>
    </row>
    <row r="14" spans="1:9" s="1" customFormat="1" ht="15" x14ac:dyDescent="0.2">
      <c r="A14" s="35" t="s">
        <v>275</v>
      </c>
      <c r="B14" s="32"/>
      <c r="C14" s="6"/>
      <c r="D14" s="6"/>
      <c r="E14" s="6"/>
      <c r="F14" s="156">
        <f>+'Forudsætninger - bedrift'!E81</f>
        <v>1.4</v>
      </c>
      <c r="G14" s="57" t="s">
        <v>162</v>
      </c>
      <c r="H14" s="156"/>
      <c r="I14" s="57"/>
    </row>
    <row r="15" spans="1:9" s="1" customFormat="1" ht="15" x14ac:dyDescent="0.2">
      <c r="A15" s="35" t="s">
        <v>157</v>
      </c>
      <c r="B15" s="32"/>
      <c r="C15" s="6"/>
      <c r="D15" s="6"/>
      <c r="E15" s="6"/>
      <c r="F15" s="240">
        <f>SUM('Forudsætninger - bedrift'!E86:E88)</f>
        <v>251.85</v>
      </c>
      <c r="G15" s="57" t="s">
        <v>133</v>
      </c>
      <c r="H15" s="240">
        <f>SUM('Forudsætninger - bedrift'!G86:G88)</f>
        <v>251.85</v>
      </c>
      <c r="I15" s="57" t="s">
        <v>133</v>
      </c>
    </row>
    <row r="16" spans="1:9" s="1" customFormat="1" ht="15" x14ac:dyDescent="0.2">
      <c r="A16" s="35"/>
      <c r="B16" s="32"/>
      <c r="C16" s="6"/>
      <c r="D16" s="6"/>
      <c r="E16" s="6"/>
      <c r="F16" s="53"/>
      <c r="G16" s="54"/>
      <c r="H16" s="53"/>
      <c r="I16" s="54"/>
    </row>
    <row r="17" spans="1:11" s="1" customFormat="1" ht="15" x14ac:dyDescent="0.2">
      <c r="A17" s="35" t="s">
        <v>161</v>
      </c>
      <c r="B17" s="32"/>
      <c r="C17" s="32" t="s">
        <v>255</v>
      </c>
      <c r="D17" s="6"/>
      <c r="E17" s="6"/>
      <c r="F17" s="139">
        <f>+'Beregninger uden'!D112</f>
        <v>15864.704000000009</v>
      </c>
      <c r="G17" s="57" t="s">
        <v>163</v>
      </c>
      <c r="H17" s="139">
        <f>+'Beregninger med'!D149</f>
        <v>3836.2445000000007</v>
      </c>
      <c r="I17" s="57" t="s">
        <v>163</v>
      </c>
    </row>
    <row r="18" spans="1:11" s="1" customFormat="1" ht="15" x14ac:dyDescent="0.2">
      <c r="A18" s="35" t="s">
        <v>160</v>
      </c>
      <c r="B18" s="32"/>
      <c r="C18" s="32" t="s">
        <v>255</v>
      </c>
      <c r="D18" s="6"/>
      <c r="E18" s="6"/>
      <c r="F18" s="139">
        <f>+'Beregninger uden'!F112</f>
        <v>-132.78359999999884</v>
      </c>
      <c r="G18" s="57" t="s">
        <v>163</v>
      </c>
      <c r="H18" s="139">
        <f>+'Beregninger med'!F149</f>
        <v>1388.5555369127519</v>
      </c>
      <c r="I18" s="57" t="s">
        <v>163</v>
      </c>
    </row>
    <row r="19" spans="1:11" s="1" customFormat="1" ht="15" x14ac:dyDescent="0.2">
      <c r="A19" s="35" t="s">
        <v>159</v>
      </c>
      <c r="B19" s="32"/>
      <c r="C19" s="32" t="s">
        <v>255</v>
      </c>
      <c r="D19" s="6"/>
      <c r="E19" s="6"/>
      <c r="F19" s="139">
        <f>+'Beregninger uden'!G112</f>
        <v>764.6856000000007</v>
      </c>
      <c r="G19" s="57" t="s">
        <v>163</v>
      </c>
      <c r="H19" s="139">
        <f>+'Beregninger med'!G149</f>
        <v>-7125.1013087248284</v>
      </c>
      <c r="I19" s="57" t="s">
        <v>163</v>
      </c>
    </row>
    <row r="20" spans="1:11" s="1" customFormat="1" ht="15" x14ac:dyDescent="0.2">
      <c r="A20" s="35"/>
      <c r="B20" s="32"/>
      <c r="C20" s="6"/>
      <c r="D20" s="6"/>
      <c r="E20" s="6"/>
      <c r="F20" s="53"/>
      <c r="G20" s="54"/>
      <c r="H20" s="53"/>
      <c r="I20" s="54"/>
    </row>
    <row r="21" spans="1:11" s="1" customFormat="1" ht="15" x14ac:dyDescent="0.2">
      <c r="A21" s="35" t="s">
        <v>216</v>
      </c>
      <c r="B21" s="32"/>
      <c r="C21" s="6"/>
      <c r="D21" s="6"/>
      <c r="E21" s="6"/>
      <c r="F21" s="139">
        <f>+'Beregninger uden'!D152</f>
        <v>44162.432000000001</v>
      </c>
      <c r="G21" s="57" t="s">
        <v>163</v>
      </c>
      <c r="H21" s="139">
        <f>+'Beregninger med'!D276</f>
        <v>44887.794499999996</v>
      </c>
      <c r="I21" s="57" t="s">
        <v>163</v>
      </c>
    </row>
    <row r="22" spans="1:11" s="1" customFormat="1" ht="15" x14ac:dyDescent="0.2">
      <c r="A22" s="253" t="s">
        <v>224</v>
      </c>
      <c r="B22" s="32"/>
      <c r="C22" s="6"/>
      <c r="D22" s="6"/>
      <c r="E22" s="6"/>
      <c r="F22" s="139">
        <f>+'Beregninger uden'!E152</f>
        <v>33511.040000000008</v>
      </c>
      <c r="G22" s="57" t="s">
        <v>163</v>
      </c>
      <c r="H22" s="139">
        <f>+'Beregninger med'!E276</f>
        <v>37173.409265100665</v>
      </c>
      <c r="I22" s="57" t="s">
        <v>163</v>
      </c>
    </row>
    <row r="23" spans="1:11" s="1" customFormat="1" ht="15" x14ac:dyDescent="0.2">
      <c r="A23" s="253"/>
      <c r="B23" s="32"/>
      <c r="C23" s="6"/>
      <c r="D23" s="6"/>
      <c r="E23" s="6"/>
      <c r="F23" s="139"/>
      <c r="G23" s="57"/>
      <c r="H23" s="139"/>
      <c r="I23" s="57"/>
    </row>
    <row r="24" spans="1:11" s="1" customFormat="1" ht="15" x14ac:dyDescent="0.2">
      <c r="A24" s="35" t="s">
        <v>164</v>
      </c>
      <c r="B24" s="32"/>
      <c r="C24" s="6"/>
      <c r="D24" s="6"/>
      <c r="E24" s="6"/>
      <c r="F24" s="53"/>
      <c r="G24" s="54"/>
      <c r="H24" s="139">
        <f>+'Beregninger med'!E175</f>
        <v>98.68421052631578</v>
      </c>
      <c r="I24" s="57" t="s">
        <v>137</v>
      </c>
    </row>
    <row r="25" spans="1:11" s="1" customFormat="1" ht="15" x14ac:dyDescent="0.2">
      <c r="A25" s="35"/>
      <c r="B25" s="32"/>
      <c r="C25" s="6"/>
      <c r="D25" s="6"/>
      <c r="E25" s="6"/>
      <c r="F25" s="53"/>
      <c r="G25" s="54"/>
      <c r="H25" s="139"/>
      <c r="I25" s="57"/>
    </row>
    <row r="26" spans="1:11" s="1" customFormat="1" ht="15" x14ac:dyDescent="0.2">
      <c r="A26" s="35" t="s">
        <v>166</v>
      </c>
      <c r="B26" s="32"/>
      <c r="C26" s="6"/>
      <c r="D26" s="6"/>
      <c r="E26" s="6"/>
      <c r="F26" s="53"/>
      <c r="G26" s="54"/>
      <c r="H26" s="139">
        <f>+'Beregninger med'!G163</f>
        <v>665.02441659173166</v>
      </c>
      <c r="I26" s="57" t="s">
        <v>165</v>
      </c>
    </row>
    <row r="27" spans="1:11" s="1" customFormat="1" ht="15" x14ac:dyDescent="0.2">
      <c r="A27" s="35"/>
      <c r="B27" s="32"/>
      <c r="C27" s="6"/>
      <c r="D27" s="6"/>
      <c r="E27" s="6"/>
      <c r="F27" s="53"/>
      <c r="G27" s="54"/>
      <c r="H27" s="139"/>
      <c r="I27" s="57"/>
    </row>
    <row r="28" spans="1:11" s="1" customFormat="1" ht="15" x14ac:dyDescent="0.2">
      <c r="A28" s="35" t="s">
        <v>296</v>
      </c>
      <c r="B28" s="32"/>
      <c r="C28" s="6"/>
      <c r="D28" s="6"/>
      <c r="E28" s="6"/>
      <c r="F28" s="139">
        <f>+'Beregninger uden'!F25</f>
        <v>6423.2727272727261</v>
      </c>
      <c r="G28" s="57" t="s">
        <v>83</v>
      </c>
      <c r="H28" s="139">
        <f>+'Beregninger med'!F25</f>
        <v>6423.2727272727261</v>
      </c>
      <c r="I28" s="57" t="s">
        <v>83</v>
      </c>
      <c r="K28" s="2"/>
    </row>
    <row r="29" spans="1:11" s="1" customFormat="1" ht="15" x14ac:dyDescent="0.2">
      <c r="A29" s="35" t="s">
        <v>167</v>
      </c>
      <c r="B29" s="32"/>
      <c r="C29" s="6"/>
      <c r="D29" s="6"/>
      <c r="E29" s="6"/>
      <c r="F29" s="139">
        <f>+'Beregninger uden'!F141</f>
        <v>6423.2727272727261</v>
      </c>
      <c r="G29" s="57" t="s">
        <v>83</v>
      </c>
      <c r="H29" s="139">
        <f>+'Beregninger med'!C102</f>
        <v>3000</v>
      </c>
      <c r="I29" s="57" t="s">
        <v>83</v>
      </c>
    </row>
    <row r="30" spans="1:11" s="1" customFormat="1" ht="15" x14ac:dyDescent="0.2">
      <c r="A30" s="35" t="s">
        <v>295</v>
      </c>
      <c r="B30" s="32"/>
      <c r="C30" s="6"/>
      <c r="D30" s="6"/>
      <c r="E30" s="6"/>
      <c r="F30" s="139">
        <f>+'Beregninger uden'!F142</f>
        <v>0</v>
      </c>
      <c r="G30" s="57" t="s">
        <v>83</v>
      </c>
      <c r="H30" s="139">
        <f>+'Beregninger med'!C103</f>
        <v>0</v>
      </c>
      <c r="I30" s="57" t="s">
        <v>83</v>
      </c>
    </row>
    <row r="31" spans="1:11" s="1" customFormat="1" ht="15" x14ac:dyDescent="0.2">
      <c r="A31" s="46" t="s">
        <v>168</v>
      </c>
      <c r="B31" s="33"/>
      <c r="C31" s="9"/>
      <c r="D31" s="9"/>
      <c r="E31" s="9"/>
      <c r="F31" s="152"/>
      <c r="G31" s="59"/>
      <c r="H31" s="152">
        <f>'Beregninger med'!F200</f>
        <v>9183.7919463087237</v>
      </c>
      <c r="I31" s="59" t="s">
        <v>83</v>
      </c>
    </row>
    <row r="32" spans="1:11" s="1" customFormat="1" ht="15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12" s="1" customFormat="1" ht="15" x14ac:dyDescent="0.2">
      <c r="A33" s="28"/>
      <c r="B33" s="28"/>
      <c r="C33" s="28"/>
      <c r="D33" s="28"/>
      <c r="E33" s="28"/>
      <c r="F33" s="28"/>
      <c r="G33" s="28"/>
      <c r="H33" s="28"/>
      <c r="I33" s="28"/>
    </row>
    <row r="34" spans="1:12" s="1" customFormat="1" ht="15" x14ac:dyDescent="0.2">
      <c r="A34" s="42" t="s">
        <v>21</v>
      </c>
      <c r="B34" s="27"/>
      <c r="C34" s="27"/>
      <c r="D34" s="27"/>
      <c r="E34" s="27"/>
      <c r="F34" s="332" t="s">
        <v>9</v>
      </c>
      <c r="G34" s="333"/>
      <c r="H34" s="332" t="s">
        <v>10</v>
      </c>
      <c r="I34" s="333"/>
    </row>
    <row r="35" spans="1:12" s="1" customFormat="1" ht="15" x14ac:dyDescent="0.2">
      <c r="A35" s="44"/>
      <c r="B35" s="13"/>
      <c r="C35" s="13"/>
      <c r="D35" s="13"/>
      <c r="E35" s="13"/>
      <c r="F35" s="51"/>
      <c r="G35" s="40" t="s">
        <v>155</v>
      </c>
      <c r="H35" s="43"/>
      <c r="I35" s="40" t="s">
        <v>155</v>
      </c>
    </row>
    <row r="36" spans="1:12" s="1" customFormat="1" ht="15" x14ac:dyDescent="0.2">
      <c r="A36" s="35"/>
      <c r="B36" s="32"/>
      <c r="C36" s="6"/>
      <c r="D36" s="6"/>
      <c r="E36" s="6"/>
      <c r="F36" s="53"/>
      <c r="G36" s="54"/>
      <c r="H36" s="53"/>
      <c r="I36" s="54"/>
    </row>
    <row r="37" spans="1:12" s="1" customFormat="1" ht="15" x14ac:dyDescent="0.2">
      <c r="A37" s="35" t="s">
        <v>171</v>
      </c>
      <c r="B37" s="32"/>
      <c r="C37" s="6"/>
      <c r="D37" s="6"/>
      <c r="E37" s="6"/>
      <c r="F37" s="139"/>
      <c r="G37" s="57"/>
      <c r="H37" s="139"/>
      <c r="I37" s="305">
        <f>+'Beregninger med'!H163</f>
        <v>83743.199659313803</v>
      </c>
    </row>
    <row r="38" spans="1:12" s="1" customFormat="1" ht="15" x14ac:dyDescent="0.2">
      <c r="A38" s="35" t="s">
        <v>172</v>
      </c>
      <c r="B38" s="32"/>
      <c r="C38" s="6"/>
      <c r="D38" s="6"/>
      <c r="E38" s="6"/>
      <c r="F38" s="139"/>
      <c r="G38" s="57"/>
      <c r="H38" s="139"/>
      <c r="I38" s="305">
        <f>+'Beregninger med'!H175</f>
        <v>23684.210526315786</v>
      </c>
    </row>
    <row r="39" spans="1:12" s="1" customFormat="1" ht="15" x14ac:dyDescent="0.2">
      <c r="A39" s="35" t="s">
        <v>252</v>
      </c>
      <c r="B39" s="32"/>
      <c r="C39" s="32"/>
      <c r="D39" s="32"/>
      <c r="E39" s="32"/>
      <c r="F39" s="139"/>
      <c r="G39" s="57">
        <f>+'Beregninger uden'!H122</f>
        <v>0</v>
      </c>
      <c r="H39" s="139"/>
      <c r="I39" s="57">
        <f>+'Beregninger med'!H181</f>
        <v>0</v>
      </c>
    </row>
    <row r="40" spans="1:12" s="1" customFormat="1" ht="15.75" x14ac:dyDescent="0.25">
      <c r="A40" s="38" t="s">
        <v>1</v>
      </c>
      <c r="B40" s="39"/>
      <c r="C40" s="39"/>
      <c r="D40" s="39"/>
      <c r="E40" s="39"/>
      <c r="F40" s="56"/>
      <c r="G40" s="36">
        <f>SUBTOTAL(9,G36:G39)</f>
        <v>0</v>
      </c>
      <c r="H40" s="56"/>
      <c r="I40" s="36">
        <f>SUBTOTAL(9,I36:I39)</f>
        <v>107427.41018562959</v>
      </c>
      <c r="J40" s="41"/>
      <c r="K40" s="41"/>
      <c r="L40" s="41"/>
    </row>
    <row r="41" spans="1:12" s="1" customFormat="1" ht="15" x14ac:dyDescent="0.2">
      <c r="A41" s="35"/>
      <c r="B41" s="32"/>
      <c r="C41" s="32"/>
      <c r="D41" s="32"/>
      <c r="E41" s="32"/>
      <c r="F41" s="139"/>
      <c r="G41" s="57"/>
      <c r="H41" s="139"/>
      <c r="I41" s="57"/>
    </row>
    <row r="42" spans="1:12" s="1" customFormat="1" ht="15" x14ac:dyDescent="0.2">
      <c r="A42" s="35" t="s">
        <v>169</v>
      </c>
      <c r="B42" s="32"/>
      <c r="C42" s="32"/>
      <c r="D42" s="32"/>
      <c r="E42" s="32"/>
      <c r="F42" s="139"/>
      <c r="G42" s="57">
        <f>-'Beregninger uden'!H130</f>
        <v>-132079.25980000009</v>
      </c>
      <c r="H42" s="139"/>
      <c r="I42" s="57">
        <f>-'Beregninger med'!H189</f>
        <v>-30689.956000000006</v>
      </c>
    </row>
    <row r="43" spans="1:12" s="1" customFormat="1" ht="15" x14ac:dyDescent="0.2">
      <c r="A43" s="35" t="s">
        <v>170</v>
      </c>
      <c r="B43" s="32"/>
      <c r="C43" s="32"/>
      <c r="D43" s="32"/>
      <c r="E43" s="32"/>
      <c r="F43" s="139"/>
      <c r="G43" s="57">
        <f>-'Beregninger uden'!H146</f>
        <v>-150965.45454545453</v>
      </c>
      <c r="H43" s="139"/>
      <c r="I43" s="57">
        <f>-'Beregninger med'!H205</f>
        <v>-183675.83892617447</v>
      </c>
    </row>
    <row r="44" spans="1:12" s="1" customFormat="1" ht="15" x14ac:dyDescent="0.2">
      <c r="A44" s="35"/>
      <c r="B44" s="32"/>
      <c r="C44" s="32"/>
      <c r="D44" s="32"/>
      <c r="E44" s="32"/>
      <c r="F44" s="139"/>
      <c r="G44" s="57"/>
      <c r="H44" s="139"/>
      <c r="I44" s="57"/>
    </row>
    <row r="45" spans="1:12" s="1" customFormat="1" ht="15" x14ac:dyDescent="0.2">
      <c r="A45" s="35" t="s">
        <v>173</v>
      </c>
      <c r="B45" s="32"/>
      <c r="C45" s="32"/>
      <c r="D45" s="32"/>
      <c r="E45" s="32"/>
      <c r="F45" s="139"/>
      <c r="G45" s="57"/>
      <c r="H45" s="139"/>
      <c r="I45" s="57">
        <f>-'Beregninger med'!H237</f>
        <v>-46419.5625</v>
      </c>
    </row>
    <row r="46" spans="1:12" s="1" customFormat="1" ht="15" x14ac:dyDescent="0.2">
      <c r="A46" s="35" t="s">
        <v>217</v>
      </c>
      <c r="B46" s="32"/>
      <c r="C46" s="32"/>
      <c r="D46" s="32"/>
      <c r="E46" s="32"/>
      <c r="F46" s="139"/>
      <c r="G46" s="57"/>
      <c r="H46" s="139"/>
      <c r="I46" s="57">
        <f>-'Beregninger med'!H250</f>
        <v>-33200.999999999985</v>
      </c>
    </row>
    <row r="47" spans="1:12" s="1" customFormat="1" ht="15" x14ac:dyDescent="0.2">
      <c r="A47" s="35"/>
      <c r="B47" s="32"/>
      <c r="C47" s="32"/>
      <c r="D47" s="32"/>
      <c r="E47" s="32"/>
      <c r="F47" s="139"/>
      <c r="G47" s="57"/>
      <c r="H47" s="139"/>
      <c r="I47" s="57"/>
    </row>
    <row r="48" spans="1:12" s="1" customFormat="1" ht="15" x14ac:dyDescent="0.2">
      <c r="A48" s="35" t="s">
        <v>174</v>
      </c>
      <c r="B48" s="32"/>
      <c r="C48" s="32"/>
      <c r="D48" s="32"/>
      <c r="E48" s="32"/>
      <c r="F48" s="139"/>
      <c r="G48" s="57"/>
      <c r="H48" s="139"/>
      <c r="I48" s="57">
        <f>-'Beregninger med'!G262</f>
        <v>-30577.133333333335</v>
      </c>
    </row>
    <row r="49" spans="1:12" s="1" customFormat="1" ht="15" x14ac:dyDescent="0.2">
      <c r="A49" s="35" t="s">
        <v>175</v>
      </c>
      <c r="B49" s="32"/>
      <c r="C49" s="32"/>
      <c r="D49" s="32"/>
      <c r="E49" s="32"/>
      <c r="F49" s="139"/>
      <c r="G49" s="57"/>
      <c r="H49" s="139"/>
      <c r="I49" s="57">
        <f>-'Beregninger med'!H262</f>
        <v>-20639.564999999999</v>
      </c>
    </row>
    <row r="50" spans="1:12" s="1" customFormat="1" ht="15" x14ac:dyDescent="0.2">
      <c r="A50" s="35" t="s">
        <v>19</v>
      </c>
      <c r="B50" s="32"/>
      <c r="C50" s="32"/>
      <c r="D50" s="32"/>
      <c r="E50" s="32"/>
      <c r="F50" s="139"/>
      <c r="G50" s="57"/>
      <c r="H50" s="139"/>
      <c r="I50" s="57">
        <f>-'Beregninger med'!H270</f>
        <v>-6804</v>
      </c>
    </row>
    <row r="51" spans="1:12" s="1" customFormat="1" ht="15.75" x14ac:dyDescent="0.25">
      <c r="A51" s="38" t="s">
        <v>15</v>
      </c>
      <c r="B51" s="39"/>
      <c r="C51" s="39"/>
      <c r="D51" s="39"/>
      <c r="E51" s="39"/>
      <c r="F51" s="56"/>
      <c r="G51" s="36">
        <f>SUBTOTAL(9,G41:G50)</f>
        <v>-283044.71434545459</v>
      </c>
      <c r="H51" s="56"/>
      <c r="I51" s="36">
        <f>SUBTOTAL(9,I41:I50)</f>
        <v>-352007.05575950781</v>
      </c>
      <c r="J51" s="41"/>
      <c r="K51" s="41"/>
      <c r="L51" s="41"/>
    </row>
    <row r="52" spans="1:12" s="1" customFormat="1" ht="15" x14ac:dyDescent="0.2">
      <c r="A52" s="35"/>
      <c r="B52" s="32"/>
      <c r="C52" s="32"/>
      <c r="D52" s="32"/>
      <c r="E52" s="32"/>
      <c r="F52" s="139"/>
      <c r="G52" s="57"/>
      <c r="H52" s="139"/>
      <c r="I52" s="57"/>
    </row>
    <row r="53" spans="1:12" s="1" customFormat="1" ht="15.75" x14ac:dyDescent="0.25">
      <c r="A53" s="38" t="s">
        <v>16</v>
      </c>
      <c r="B53" s="39"/>
      <c r="C53" s="39"/>
      <c r="D53" s="39"/>
      <c r="E53" s="39"/>
      <c r="F53" s="56"/>
      <c r="G53" s="36">
        <f>SUBTOTAL(9,G36:G52)</f>
        <v>-283044.71434545459</v>
      </c>
      <c r="H53" s="56"/>
      <c r="I53" s="36">
        <f>SUBTOTAL(9,I36:I52)</f>
        <v>-244579.64557387822</v>
      </c>
      <c r="J53" s="41"/>
      <c r="K53" s="41"/>
      <c r="L53" s="41"/>
    </row>
    <row r="54" spans="1:12" s="1" customFormat="1" ht="15" x14ac:dyDescent="0.2">
      <c r="A54" s="35"/>
      <c r="B54" s="32"/>
      <c r="C54" s="32"/>
      <c r="D54" s="32"/>
      <c r="E54" s="32"/>
      <c r="F54" s="139"/>
      <c r="G54" s="57"/>
      <c r="H54" s="139"/>
      <c r="I54" s="57"/>
    </row>
    <row r="55" spans="1:12" s="1" customFormat="1" ht="15" x14ac:dyDescent="0.2">
      <c r="A55" s="254" t="s">
        <v>20</v>
      </c>
      <c r="B55" s="255"/>
      <c r="C55" s="255"/>
      <c r="D55" s="255"/>
      <c r="E55" s="255"/>
      <c r="F55" s="256"/>
      <c r="G55" s="256"/>
      <c r="H55" s="256"/>
      <c r="I55" s="257">
        <f>+I53-G53</f>
        <v>38465.068771576363</v>
      </c>
      <c r="K55" s="28"/>
    </row>
    <row r="56" spans="1:12" s="1" customFormat="1" ht="25.15" customHeight="1" x14ac:dyDescent="0.2">
      <c r="A56" s="283" t="s">
        <v>158</v>
      </c>
      <c r="B56" s="284"/>
      <c r="C56" s="284"/>
      <c r="D56" s="284"/>
      <c r="E56" s="284"/>
      <c r="F56" s="285">
        <f>+'Forudsætninger - bedrift'!E89</f>
        <v>46.135714285714272</v>
      </c>
      <c r="G56" s="286" t="s">
        <v>133</v>
      </c>
      <c r="H56" s="285">
        <f>+'Forudsætninger - bedrift'!G89</f>
        <v>75.162883435582813</v>
      </c>
      <c r="I56" s="286" t="s">
        <v>133</v>
      </c>
    </row>
    <row r="57" spans="1:12" s="28" customFormat="1" ht="15" x14ac:dyDescent="0.2">
      <c r="A57" s="32"/>
      <c r="B57" s="32"/>
      <c r="C57" s="32"/>
      <c r="D57" s="32"/>
      <c r="E57" s="32"/>
      <c r="F57" s="62"/>
      <c r="G57" s="63"/>
      <c r="H57" s="62"/>
      <c r="I57" s="63"/>
    </row>
    <row r="58" spans="1:12" s="28" customFormat="1" ht="15" x14ac:dyDescent="0.2">
      <c r="A58" s="32"/>
      <c r="B58" s="32"/>
      <c r="C58" s="32"/>
      <c r="D58" s="32"/>
      <c r="E58" s="32"/>
      <c r="F58" s="62"/>
      <c r="G58" s="63"/>
      <c r="H58" s="62"/>
      <c r="I58" s="63"/>
    </row>
    <row r="59" spans="1:12" s="1" customFormat="1" ht="15" x14ac:dyDescent="0.2">
      <c r="A59" s="42" t="s">
        <v>182</v>
      </c>
      <c r="B59" s="27"/>
      <c r="C59" s="27"/>
      <c r="D59" s="27"/>
      <c r="E59" s="27"/>
      <c r="F59" s="332" t="s">
        <v>9</v>
      </c>
      <c r="G59" s="333"/>
      <c r="H59" s="332" t="s">
        <v>10</v>
      </c>
      <c r="I59" s="333"/>
    </row>
    <row r="60" spans="1:12" s="1" customFormat="1" ht="15" x14ac:dyDescent="0.2">
      <c r="A60" s="44"/>
      <c r="B60" s="13"/>
      <c r="C60" s="13"/>
      <c r="D60" s="13"/>
      <c r="E60" s="13"/>
      <c r="F60" s="51"/>
      <c r="G60" s="40" t="s">
        <v>80</v>
      </c>
      <c r="H60" s="43"/>
      <c r="I60" s="40" t="s">
        <v>80</v>
      </c>
    </row>
    <row r="61" spans="1:12" s="1" customFormat="1" ht="15" x14ac:dyDescent="0.2">
      <c r="A61" s="35"/>
      <c r="B61" s="32"/>
      <c r="C61" s="32"/>
      <c r="D61" s="32"/>
      <c r="E61" s="32"/>
      <c r="F61" s="139"/>
      <c r="G61" s="57"/>
      <c r="H61" s="139"/>
      <c r="I61" s="57"/>
    </row>
    <row r="62" spans="1:12" s="1" customFormat="1" ht="15" x14ac:dyDescent="0.2">
      <c r="A62" s="246" t="s">
        <v>183</v>
      </c>
      <c r="B62" s="32"/>
      <c r="C62" s="32"/>
      <c r="D62" s="32"/>
      <c r="E62" s="32"/>
      <c r="F62" s="139"/>
      <c r="G62" s="57"/>
      <c r="H62" s="139"/>
      <c r="I62" s="57">
        <f>+'Beregninger med'!F262</f>
        <v>458657</v>
      </c>
    </row>
    <row r="63" spans="1:12" s="1" customFormat="1" ht="15" x14ac:dyDescent="0.2">
      <c r="A63" s="246" t="s">
        <v>184</v>
      </c>
      <c r="B63" s="32"/>
      <c r="C63" s="32"/>
      <c r="D63" s="32"/>
      <c r="E63" s="32"/>
      <c r="F63" s="139"/>
      <c r="G63" s="57"/>
      <c r="H63" s="139"/>
      <c r="I63" s="57">
        <f>+'Beregninger med'!F270</f>
        <v>151200</v>
      </c>
    </row>
    <row r="64" spans="1:12" s="1" customFormat="1" ht="15" x14ac:dyDescent="0.2">
      <c r="A64" s="61"/>
      <c r="B64" s="32"/>
      <c r="C64" s="32"/>
      <c r="D64" s="32"/>
      <c r="E64" s="32"/>
      <c r="F64" s="139"/>
      <c r="G64" s="57"/>
      <c r="H64" s="139"/>
      <c r="I64" s="57"/>
    </row>
    <row r="65" spans="1:9" s="1" customFormat="1" ht="15" x14ac:dyDescent="0.2">
      <c r="A65" s="38" t="s">
        <v>22</v>
      </c>
      <c r="B65" s="39"/>
      <c r="C65" s="39"/>
      <c r="D65" s="39"/>
      <c r="E65" s="39"/>
      <c r="F65" s="56"/>
      <c r="G65" s="36">
        <f>SUBTOTAL(9,G61:G64)</f>
        <v>0</v>
      </c>
      <c r="H65" s="56"/>
      <c r="I65" s="36">
        <f>SUBTOTAL(9,I61:I64)</f>
        <v>609857</v>
      </c>
    </row>
    <row r="66" spans="1:9" s="28" customFormat="1" ht="15" x14ac:dyDescent="0.2">
      <c r="A66" s="32"/>
      <c r="B66" s="32"/>
      <c r="C66" s="32"/>
      <c r="D66" s="32"/>
      <c r="E66" s="32"/>
      <c r="F66" s="62"/>
      <c r="G66" s="63"/>
      <c r="H66" s="62"/>
      <c r="I66" s="63"/>
    </row>
    <row r="67" spans="1:9" s="28" customFormat="1" ht="15" x14ac:dyDescent="0.2">
      <c r="A67" s="32"/>
      <c r="B67" s="32"/>
      <c r="C67" s="32"/>
      <c r="D67" s="32"/>
      <c r="E67" s="32"/>
      <c r="F67" s="62"/>
      <c r="G67" s="63"/>
      <c r="H67" s="62"/>
      <c r="I67" s="63"/>
    </row>
    <row r="68" spans="1:9" s="1" customFormat="1" ht="15" x14ac:dyDescent="0.2">
      <c r="A68" s="42" t="s">
        <v>178</v>
      </c>
      <c r="B68" s="27"/>
      <c r="C68" s="27"/>
      <c r="D68" s="27"/>
      <c r="E68" s="27"/>
      <c r="F68" s="27"/>
      <c r="G68" s="27"/>
      <c r="H68" s="27"/>
      <c r="I68" s="67"/>
    </row>
    <row r="69" spans="1:9" s="1" customFormat="1" ht="15" x14ac:dyDescent="0.2">
      <c r="A69" s="44"/>
      <c r="B69" s="13"/>
      <c r="C69" s="13"/>
      <c r="D69" s="13"/>
      <c r="E69" s="13"/>
      <c r="F69" s="13"/>
      <c r="G69" s="13"/>
      <c r="H69" s="13"/>
      <c r="I69" s="40"/>
    </row>
    <row r="70" spans="1:9" s="1" customFormat="1" ht="15" x14ac:dyDescent="0.2">
      <c r="A70" s="244"/>
      <c r="B70" s="45"/>
      <c r="C70" s="45"/>
      <c r="D70" s="45"/>
      <c r="E70" s="45"/>
      <c r="F70" s="45"/>
      <c r="G70" s="45"/>
      <c r="H70" s="45"/>
      <c r="I70" s="245"/>
    </row>
    <row r="71" spans="1:9" s="1" customFormat="1" ht="15" x14ac:dyDescent="0.2">
      <c r="A71" s="99" t="s">
        <v>179</v>
      </c>
      <c r="B71" s="32"/>
      <c r="C71" s="32"/>
      <c r="D71" s="32"/>
      <c r="E71" s="32"/>
      <c r="F71" s="32"/>
      <c r="G71" s="32"/>
      <c r="H71" s="32"/>
      <c r="I71" s="58"/>
    </row>
    <row r="72" spans="1:9" s="1" customFormat="1" ht="15" x14ac:dyDescent="0.2">
      <c r="A72" s="61" t="s">
        <v>23</v>
      </c>
      <c r="B72" s="32"/>
      <c r="C72" s="32"/>
      <c r="D72" s="32"/>
      <c r="E72" s="32"/>
      <c r="F72" s="32"/>
      <c r="G72" s="32"/>
      <c r="H72" s="32"/>
      <c r="I72" s="58"/>
    </row>
    <row r="73" spans="1:9" s="1" customFormat="1" ht="15" x14ac:dyDescent="0.2">
      <c r="A73" s="61" t="s">
        <v>18</v>
      </c>
      <c r="B73" s="32"/>
      <c r="C73" s="32"/>
      <c r="D73" s="32"/>
      <c r="E73" s="32"/>
      <c r="F73" s="32"/>
      <c r="G73" s="32"/>
      <c r="H73" s="32"/>
      <c r="I73" s="58"/>
    </row>
    <row r="74" spans="1:9" s="1" customFormat="1" ht="15" x14ac:dyDescent="0.2">
      <c r="A74" s="61" t="s">
        <v>225</v>
      </c>
      <c r="B74" s="32"/>
      <c r="C74" s="32"/>
      <c r="D74" s="32"/>
      <c r="E74" s="32"/>
      <c r="F74" s="32"/>
      <c r="G74" s="32"/>
      <c r="H74" s="32"/>
      <c r="I74" s="58"/>
    </row>
    <row r="75" spans="1:9" s="1" customFormat="1" ht="15" x14ac:dyDescent="0.2">
      <c r="A75" s="61" t="s">
        <v>226</v>
      </c>
      <c r="B75" s="32"/>
      <c r="C75" s="32"/>
      <c r="D75" s="32"/>
      <c r="E75" s="32"/>
      <c r="F75" s="32"/>
      <c r="G75" s="32"/>
      <c r="H75" s="32"/>
      <c r="I75" s="58"/>
    </row>
    <row r="76" spans="1:9" s="1" customFormat="1" ht="15" x14ac:dyDescent="0.2">
      <c r="A76" s="35"/>
      <c r="B76" s="32"/>
      <c r="C76" s="32"/>
      <c r="D76" s="32"/>
      <c r="E76" s="32"/>
      <c r="F76" s="32"/>
      <c r="G76" s="32"/>
      <c r="H76" s="32"/>
      <c r="I76" s="58"/>
    </row>
    <row r="77" spans="1:9" s="1" customFormat="1" ht="15" x14ac:dyDescent="0.2">
      <c r="A77" s="99" t="s">
        <v>180</v>
      </c>
      <c r="B77" s="32"/>
      <c r="C77" s="32"/>
      <c r="D77" s="32"/>
      <c r="E77" s="32"/>
      <c r="F77" s="32"/>
      <c r="G77" s="32"/>
      <c r="H77" s="32"/>
      <c r="I77" s="58"/>
    </row>
    <row r="78" spans="1:9" s="1" customFormat="1" ht="15" x14ac:dyDescent="0.2">
      <c r="A78" s="61" t="s">
        <v>181</v>
      </c>
      <c r="B78" s="32"/>
      <c r="C78" s="32"/>
      <c r="D78" s="32"/>
      <c r="E78" s="32"/>
      <c r="F78" s="32"/>
      <c r="G78" s="32"/>
      <c r="H78" s="32"/>
      <c r="I78" s="58"/>
    </row>
    <row r="79" spans="1:9" s="1" customFormat="1" ht="15" x14ac:dyDescent="0.2">
      <c r="A79" s="61" t="s">
        <v>254</v>
      </c>
      <c r="B79" s="32"/>
      <c r="C79" s="32"/>
      <c r="D79" s="32"/>
      <c r="E79" s="32"/>
      <c r="F79" s="32"/>
      <c r="G79" s="32"/>
      <c r="H79" s="32"/>
      <c r="I79" s="58"/>
    </row>
    <row r="80" spans="1:9" s="1" customFormat="1" ht="15" x14ac:dyDescent="0.2">
      <c r="A80" s="46"/>
      <c r="B80" s="33"/>
      <c r="C80" s="33"/>
      <c r="D80" s="33"/>
      <c r="E80" s="33"/>
      <c r="F80" s="33"/>
      <c r="G80" s="33"/>
      <c r="H80" s="33"/>
      <c r="I80" s="59"/>
    </row>
    <row r="81" spans="1:12" s="1" customFormat="1" ht="15" x14ac:dyDescent="0.2">
      <c r="A81" s="4"/>
      <c r="B81" s="6"/>
      <c r="C81" s="6"/>
      <c r="D81" s="6"/>
      <c r="E81" s="6"/>
      <c r="F81" s="7"/>
      <c r="G81" s="7"/>
      <c r="H81" s="7"/>
      <c r="I81" s="7"/>
    </row>
    <row r="82" spans="1:12" x14ac:dyDescent="0.2">
      <c r="A82" s="4"/>
      <c r="B82" s="4"/>
      <c r="C82" s="4"/>
      <c r="D82" s="4"/>
      <c r="E82" s="4"/>
      <c r="J82" s="4"/>
      <c r="K82" s="4"/>
      <c r="L82" s="4"/>
    </row>
  </sheetData>
  <mergeCells count="6">
    <mergeCell ref="F34:G34"/>
    <mergeCell ref="H34:I34"/>
    <mergeCell ref="F59:G59"/>
    <mergeCell ref="H59:I59"/>
    <mergeCell ref="F7:G7"/>
    <mergeCell ref="H7:I7"/>
  </mergeCells>
  <printOptions horizontalCentered="1"/>
  <pageMargins left="0.86614173228346458" right="0.31496062992125984" top="0.27559055118110237" bottom="0.47244094488188981" header="0" footer="0.27559055118110237"/>
  <pageSetup paperSize="9" scale="88" fitToHeight="0" orientation="portrait" r:id="rId1"/>
  <headerFooter alignWithMargins="0">
    <oddFooter>&amp;L&amp;8Udskrevet &amp;D;kl. &amp;T&amp;C&amp;10Side &amp;P af &amp;N&amp;R&amp;8&amp;F/&amp;A</oddFooter>
  </headerFooter>
  <rowBreaks count="1" manualBreakCount="1">
    <brk id="5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showGridLines="0" zoomScaleNormal="100" zoomScaleSheetLayoutView="100" workbookViewId="0">
      <pane ySplit="5" topLeftCell="A6" activePane="bottomLeft" state="frozen"/>
      <selection activeCell="J59" sqref="J59"/>
      <selection pane="bottomLeft" activeCell="C7" sqref="C7"/>
    </sheetView>
  </sheetViews>
  <sheetFormatPr defaultColWidth="8" defaultRowHeight="12.75" x14ac:dyDescent="0.2"/>
  <cols>
    <col min="1" max="1" width="7.109375" style="3" customWidth="1"/>
    <col min="2" max="2" width="26.5546875" style="3" customWidth="1"/>
    <col min="3" max="4" width="9.6640625" style="3" customWidth="1"/>
    <col min="5" max="8" width="8" style="4" customWidth="1"/>
    <col min="9" max="9" width="6.44140625" style="3" customWidth="1"/>
    <col min="10" max="10" width="9.33203125" style="3" customWidth="1"/>
    <col min="11" max="11" width="7" style="3" customWidth="1"/>
    <col min="12" max="16384" width="8" style="3"/>
  </cols>
  <sheetData>
    <row r="1" spans="1:11" s="1" customFormat="1" ht="15" x14ac:dyDescent="0.2">
      <c r="A1" s="1" t="str">
        <f ca="1">CELL("filnavn",B1)</f>
        <v>C:\Users\SST\AppData\Local\Microsoft\Windows\Temporary Internet Files\Content.Outlook\2FA5JZUZ\[MBE Busines case - Niels Mikkelsen - ver A2.xlsx]Forudsætninger - bedrift</v>
      </c>
      <c r="E1" s="2"/>
      <c r="F1" s="2"/>
      <c r="G1" s="2"/>
      <c r="H1" s="2"/>
    </row>
    <row r="2" spans="1:11" s="1" customFormat="1" ht="46.5" customHeight="1" thickBot="1" x14ac:dyDescent="0.3">
      <c r="A2" s="5"/>
      <c r="B2" s="5"/>
      <c r="C2" s="5"/>
      <c r="D2" s="5"/>
      <c r="E2" s="2"/>
      <c r="G2" s="14"/>
      <c r="H2" s="15"/>
    </row>
    <row r="3" spans="1:11" s="1" customFormat="1" ht="20.25" x14ac:dyDescent="0.3">
      <c r="A3" s="16" t="s">
        <v>6</v>
      </c>
      <c r="B3" s="17"/>
      <c r="C3" s="17"/>
      <c r="D3" s="17"/>
      <c r="E3" s="18"/>
      <c r="F3" s="31"/>
      <c r="G3" s="19"/>
      <c r="H3" s="20"/>
    </row>
    <row r="4" spans="1:11" s="1" customFormat="1" ht="16.5" customHeight="1" x14ac:dyDescent="0.2">
      <c r="A4" s="34" t="s">
        <v>7</v>
      </c>
      <c r="B4" s="11"/>
      <c r="C4" s="11"/>
      <c r="D4" s="11"/>
      <c r="E4" s="12"/>
      <c r="F4" s="30" t="s">
        <v>0</v>
      </c>
      <c r="G4" s="8"/>
      <c r="H4" s="280">
        <v>41281</v>
      </c>
    </row>
    <row r="5" spans="1:11" s="1" customFormat="1" ht="16.5" thickBot="1" x14ac:dyDescent="0.3">
      <c r="A5" s="330" t="s">
        <v>98</v>
      </c>
      <c r="B5" s="331"/>
      <c r="C5" s="331"/>
      <c r="D5" s="279" t="s">
        <v>315</v>
      </c>
      <c r="E5" s="93"/>
      <c r="F5" s="93"/>
      <c r="G5" s="93"/>
      <c r="H5" s="94"/>
    </row>
    <row r="6" spans="1:11" s="1" customFormat="1" ht="15.75" x14ac:dyDescent="0.25">
      <c r="A6" s="97"/>
      <c r="B6" s="98"/>
      <c r="C6" s="25"/>
      <c r="D6" s="25"/>
      <c r="E6" s="26"/>
      <c r="F6" s="26"/>
      <c r="G6" s="26"/>
      <c r="H6" s="26"/>
    </row>
    <row r="7" spans="1:11" s="1" customFormat="1" ht="15.75" x14ac:dyDescent="0.25">
      <c r="A7" s="10"/>
      <c r="B7" s="25"/>
      <c r="C7" s="25"/>
      <c r="D7" s="25"/>
      <c r="E7" s="26"/>
      <c r="F7" s="26"/>
      <c r="G7" s="26"/>
      <c r="H7" s="26"/>
    </row>
    <row r="8" spans="1:11" s="1" customFormat="1" ht="15" x14ac:dyDescent="0.2">
      <c r="A8" s="42" t="s">
        <v>236</v>
      </c>
      <c r="B8" s="27"/>
      <c r="C8" s="27"/>
      <c r="D8" s="27"/>
      <c r="E8" s="332" t="s">
        <v>9</v>
      </c>
      <c r="F8" s="333"/>
      <c r="G8" s="332" t="s">
        <v>10</v>
      </c>
      <c r="H8" s="333"/>
    </row>
    <row r="9" spans="1:11" s="1" customFormat="1" ht="38.25" x14ac:dyDescent="0.2">
      <c r="A9" s="44"/>
      <c r="B9" s="13"/>
      <c r="C9" s="13"/>
      <c r="D9" s="13"/>
      <c r="E9" s="51" t="s">
        <v>8</v>
      </c>
      <c r="F9" s="75" t="s">
        <v>70</v>
      </c>
      <c r="G9" s="51" t="s">
        <v>8</v>
      </c>
      <c r="H9" s="75" t="s">
        <v>70</v>
      </c>
    </row>
    <row r="10" spans="1:11" x14ac:dyDescent="0.2">
      <c r="A10" s="35"/>
      <c r="B10" s="32"/>
      <c r="C10" s="6"/>
      <c r="D10" s="6"/>
      <c r="E10" s="53"/>
      <c r="F10" s="54"/>
      <c r="G10" s="53"/>
      <c r="H10" s="54"/>
      <c r="I10" s="4"/>
      <c r="J10" s="4"/>
      <c r="K10" s="4"/>
    </row>
    <row r="11" spans="1:11" x14ac:dyDescent="0.2">
      <c r="A11" s="35"/>
      <c r="B11" s="32" t="s">
        <v>69</v>
      </c>
      <c r="C11" s="6"/>
      <c r="D11" s="6"/>
      <c r="E11" s="76">
        <v>0</v>
      </c>
      <c r="F11" s="54">
        <v>70</v>
      </c>
      <c r="G11" s="76">
        <v>0</v>
      </c>
      <c r="H11" s="79">
        <f t="shared" ref="H11:H16" si="0">+F11</f>
        <v>70</v>
      </c>
      <c r="I11" s="4"/>
      <c r="J11" s="4"/>
      <c r="K11" s="4"/>
    </row>
    <row r="12" spans="1:11" x14ac:dyDescent="0.2">
      <c r="A12" s="35"/>
      <c r="B12" s="32" t="s">
        <v>68</v>
      </c>
      <c r="C12" s="6"/>
      <c r="D12" s="6"/>
      <c r="E12" s="76">
        <v>0</v>
      </c>
      <c r="F12" s="54">
        <v>70</v>
      </c>
      <c r="G12" s="76">
        <v>0</v>
      </c>
      <c r="H12" s="79">
        <f t="shared" si="0"/>
        <v>70</v>
      </c>
      <c r="I12" s="4"/>
      <c r="J12" s="4"/>
      <c r="K12" s="4"/>
    </row>
    <row r="13" spans="1:11" x14ac:dyDescent="0.2">
      <c r="A13" s="35"/>
      <c r="B13" s="32" t="s">
        <v>67</v>
      </c>
      <c r="C13" s="6"/>
      <c r="D13" s="6"/>
      <c r="E13" s="76">
        <v>0</v>
      </c>
      <c r="F13" s="54">
        <v>75</v>
      </c>
      <c r="G13" s="76">
        <v>0</v>
      </c>
      <c r="H13" s="79">
        <f t="shared" si="0"/>
        <v>75</v>
      </c>
      <c r="I13" s="4"/>
      <c r="J13" s="4"/>
      <c r="K13" s="4"/>
    </row>
    <row r="14" spans="1:11" x14ac:dyDescent="0.2">
      <c r="A14" s="48"/>
      <c r="B14" s="6" t="s">
        <v>66</v>
      </c>
      <c r="C14" s="6"/>
      <c r="D14" s="6"/>
      <c r="E14" s="76">
        <v>0</v>
      </c>
      <c r="F14" s="54">
        <v>75</v>
      </c>
      <c r="G14" s="76">
        <v>0</v>
      </c>
      <c r="H14" s="79">
        <f t="shared" si="0"/>
        <v>75</v>
      </c>
      <c r="I14" s="4"/>
      <c r="J14" s="4"/>
      <c r="K14" s="4"/>
    </row>
    <row r="15" spans="1:11" x14ac:dyDescent="0.2">
      <c r="A15" s="48"/>
      <c r="B15" s="6" t="s">
        <v>65</v>
      </c>
      <c r="C15" s="6"/>
      <c r="D15" s="6"/>
      <c r="E15" s="76">
        <v>288</v>
      </c>
      <c r="F15" s="54">
        <v>75</v>
      </c>
      <c r="G15" s="76">
        <v>288</v>
      </c>
      <c r="H15" s="79">
        <f t="shared" si="0"/>
        <v>75</v>
      </c>
      <c r="I15" s="4"/>
      <c r="J15" s="4"/>
      <c r="K15" s="4"/>
    </row>
    <row r="16" spans="1:11" x14ac:dyDescent="0.2">
      <c r="A16" s="49"/>
      <c r="B16" s="9" t="s">
        <v>64</v>
      </c>
      <c r="C16" s="9"/>
      <c r="D16" s="9"/>
      <c r="E16" s="77">
        <v>0</v>
      </c>
      <c r="F16" s="55">
        <v>70</v>
      </c>
      <c r="G16" s="77">
        <v>0</v>
      </c>
      <c r="H16" s="79">
        <f t="shared" si="0"/>
        <v>70</v>
      </c>
    </row>
    <row r="17" spans="1:11" x14ac:dyDescent="0.2">
      <c r="A17" s="38"/>
      <c r="B17" s="39" t="s">
        <v>11</v>
      </c>
      <c r="C17" s="39"/>
      <c r="D17" s="39"/>
      <c r="E17" s="78">
        <f>SUM(E11:E16)</f>
        <v>288</v>
      </c>
      <c r="F17" s="36"/>
      <c r="G17" s="78">
        <f>SUM(G11:G16)</f>
        <v>288</v>
      </c>
      <c r="H17" s="36"/>
    </row>
    <row r="18" spans="1:11" x14ac:dyDescent="0.2">
      <c r="A18" s="6"/>
      <c r="B18" s="4"/>
      <c r="C18" s="4"/>
      <c r="D18" s="4"/>
      <c r="I18" s="4"/>
      <c r="J18" s="4"/>
      <c r="K18" s="4"/>
    </row>
    <row r="19" spans="1:11" x14ac:dyDescent="0.2">
      <c r="A19" s="6"/>
      <c r="B19" s="4"/>
      <c r="C19" s="4"/>
      <c r="D19" s="4"/>
      <c r="I19" s="4"/>
      <c r="J19" s="4"/>
      <c r="K19" s="4"/>
    </row>
    <row r="20" spans="1:11" s="1" customFormat="1" ht="15" x14ac:dyDescent="0.2">
      <c r="A20" s="42" t="s">
        <v>237</v>
      </c>
      <c r="B20" s="27"/>
      <c r="C20" s="27"/>
      <c r="D20" s="27"/>
      <c r="E20" s="332" t="s">
        <v>9</v>
      </c>
      <c r="F20" s="333"/>
      <c r="G20" s="332" t="s">
        <v>10</v>
      </c>
      <c r="H20" s="333"/>
    </row>
    <row r="21" spans="1:11" s="1" customFormat="1" ht="38.25" x14ac:dyDescent="0.2">
      <c r="A21" s="44"/>
      <c r="B21" s="13"/>
      <c r="C21" s="13"/>
      <c r="D21" s="13"/>
      <c r="E21" s="51" t="s">
        <v>8</v>
      </c>
      <c r="F21" s="75" t="s">
        <v>70</v>
      </c>
      <c r="G21" s="51" t="s">
        <v>8</v>
      </c>
      <c r="H21" s="75" t="s">
        <v>70</v>
      </c>
    </row>
    <row r="22" spans="1:11" x14ac:dyDescent="0.2">
      <c r="A22" s="35"/>
      <c r="B22" s="32"/>
      <c r="C22" s="6"/>
      <c r="D22" s="6"/>
      <c r="E22" s="53"/>
      <c r="F22" s="54"/>
      <c r="G22" s="53"/>
      <c r="H22" s="54"/>
      <c r="I22" s="4"/>
      <c r="J22" s="4"/>
      <c r="K22" s="4"/>
    </row>
    <row r="23" spans="1:11" x14ac:dyDescent="0.2">
      <c r="A23" s="35"/>
      <c r="B23" s="32" t="s">
        <v>69</v>
      </c>
      <c r="C23" s="6"/>
      <c r="D23" s="6"/>
      <c r="E23" s="76">
        <v>0</v>
      </c>
      <c r="F23" s="57">
        <f t="shared" ref="F23:F28" si="1">+F11</f>
        <v>70</v>
      </c>
      <c r="G23" s="76">
        <v>0</v>
      </c>
      <c r="H23" s="79">
        <f t="shared" ref="H23:H28" si="2">+F23</f>
        <v>70</v>
      </c>
      <c r="I23" s="4"/>
      <c r="J23" s="4"/>
      <c r="K23" s="4"/>
    </row>
    <row r="24" spans="1:11" x14ac:dyDescent="0.2">
      <c r="A24" s="35"/>
      <c r="B24" s="32" t="s">
        <v>68</v>
      </c>
      <c r="C24" s="6"/>
      <c r="D24" s="6"/>
      <c r="E24" s="76">
        <v>0</v>
      </c>
      <c r="F24" s="57">
        <f t="shared" si="1"/>
        <v>70</v>
      </c>
      <c r="G24" s="76">
        <v>0</v>
      </c>
      <c r="H24" s="79">
        <f t="shared" si="2"/>
        <v>70</v>
      </c>
      <c r="I24" s="4"/>
      <c r="J24" s="4"/>
      <c r="K24" s="4"/>
    </row>
    <row r="25" spans="1:11" x14ac:dyDescent="0.2">
      <c r="A25" s="35"/>
      <c r="B25" s="32" t="s">
        <v>67</v>
      </c>
      <c r="C25" s="6"/>
      <c r="D25" s="6"/>
      <c r="E25" s="76">
        <v>0</v>
      </c>
      <c r="F25" s="57">
        <f t="shared" si="1"/>
        <v>75</v>
      </c>
      <c r="G25" s="76">
        <v>0</v>
      </c>
      <c r="H25" s="79">
        <f t="shared" si="2"/>
        <v>75</v>
      </c>
      <c r="I25" s="4"/>
      <c r="J25" s="4"/>
      <c r="K25" s="4"/>
    </row>
    <row r="26" spans="1:11" x14ac:dyDescent="0.2">
      <c r="A26" s="48"/>
      <c r="B26" s="6" t="s">
        <v>66</v>
      </c>
      <c r="C26" s="6"/>
      <c r="D26" s="6"/>
      <c r="E26" s="76">
        <v>0</v>
      </c>
      <c r="F26" s="57">
        <f t="shared" si="1"/>
        <v>75</v>
      </c>
      <c r="G26" s="76">
        <v>0</v>
      </c>
      <c r="H26" s="79">
        <f t="shared" si="2"/>
        <v>75</v>
      </c>
      <c r="I26" s="4"/>
      <c r="J26" s="4"/>
      <c r="K26" s="4"/>
    </row>
    <row r="27" spans="1:11" x14ac:dyDescent="0.2">
      <c r="A27" s="48"/>
      <c r="B27" s="6" t="s">
        <v>65</v>
      </c>
      <c r="C27" s="6"/>
      <c r="D27" s="6"/>
      <c r="E27" s="76">
        <v>0</v>
      </c>
      <c r="F27" s="57">
        <f t="shared" si="1"/>
        <v>75</v>
      </c>
      <c r="G27" s="76">
        <v>0</v>
      </c>
      <c r="H27" s="79">
        <f t="shared" si="2"/>
        <v>75</v>
      </c>
      <c r="I27" s="4"/>
      <c r="J27" s="4"/>
      <c r="K27" s="4"/>
    </row>
    <row r="28" spans="1:11" x14ac:dyDescent="0.2">
      <c r="A28" s="49"/>
      <c r="B28" s="9" t="s">
        <v>64</v>
      </c>
      <c r="C28" s="9"/>
      <c r="D28" s="9"/>
      <c r="E28" s="77">
        <v>0</v>
      </c>
      <c r="F28" s="57">
        <f t="shared" si="1"/>
        <v>70</v>
      </c>
      <c r="G28" s="77">
        <v>0</v>
      </c>
      <c r="H28" s="79">
        <f t="shared" si="2"/>
        <v>70</v>
      </c>
    </row>
    <row r="29" spans="1:11" x14ac:dyDescent="0.2">
      <c r="A29" s="38"/>
      <c r="B29" s="39" t="s">
        <v>11</v>
      </c>
      <c r="C29" s="39"/>
      <c r="D29" s="39"/>
      <c r="E29" s="78">
        <f>SUM(E23:E28)</f>
        <v>0</v>
      </c>
      <c r="F29" s="36"/>
      <c r="G29" s="78">
        <f>SUM(G23:G28)</f>
        <v>0</v>
      </c>
      <c r="H29" s="36"/>
    </row>
    <row r="30" spans="1:11" x14ac:dyDescent="0.2">
      <c r="A30" s="6"/>
      <c r="B30" s="4"/>
      <c r="C30" s="4"/>
      <c r="D30" s="4"/>
      <c r="I30" s="4"/>
      <c r="J30" s="4"/>
      <c r="K30" s="4"/>
    </row>
    <row r="31" spans="1:11" x14ac:dyDescent="0.2">
      <c r="A31" s="6"/>
      <c r="B31" s="4"/>
      <c r="C31" s="4"/>
      <c r="D31" s="4"/>
      <c r="I31" s="4"/>
      <c r="J31" s="4"/>
      <c r="K31" s="4"/>
    </row>
    <row r="32" spans="1:11" s="1" customFormat="1" ht="15" x14ac:dyDescent="0.2">
      <c r="A32" s="42" t="s">
        <v>238</v>
      </c>
      <c r="B32" s="27"/>
      <c r="C32" s="27"/>
      <c r="D32" s="27"/>
      <c r="E32" s="332" t="s">
        <v>9</v>
      </c>
      <c r="F32" s="333"/>
      <c r="G32" s="332" t="s">
        <v>10</v>
      </c>
      <c r="H32" s="333"/>
    </row>
    <row r="33" spans="1:11" s="1" customFormat="1" ht="38.25" x14ac:dyDescent="0.2">
      <c r="A33" s="44"/>
      <c r="B33" s="13"/>
      <c r="C33" s="13"/>
      <c r="D33" s="13"/>
      <c r="E33" s="51" t="s">
        <v>8</v>
      </c>
      <c r="F33" s="75" t="s">
        <v>70</v>
      </c>
      <c r="G33" s="51" t="s">
        <v>8</v>
      </c>
      <c r="H33" s="75" t="s">
        <v>70</v>
      </c>
    </row>
    <row r="34" spans="1:11" x14ac:dyDescent="0.2">
      <c r="A34" s="35"/>
      <c r="B34" s="32"/>
      <c r="C34" s="6"/>
      <c r="D34" s="6"/>
      <c r="E34" s="53"/>
      <c r="F34" s="54"/>
      <c r="G34" s="53"/>
      <c r="H34" s="54"/>
      <c r="I34" s="4"/>
      <c r="J34" s="4"/>
      <c r="K34" s="4"/>
    </row>
    <row r="35" spans="1:11" x14ac:dyDescent="0.2">
      <c r="A35" s="35"/>
      <c r="B35" s="32" t="s">
        <v>69</v>
      </c>
      <c r="C35" s="6"/>
      <c r="D35" s="6"/>
      <c r="E35" s="76">
        <v>0</v>
      </c>
      <c r="F35" s="57">
        <f t="shared" ref="F35:F40" si="3">+F11</f>
        <v>70</v>
      </c>
      <c r="G35" s="76">
        <v>0</v>
      </c>
      <c r="H35" s="79">
        <f t="shared" ref="H35:H40" si="4">+F35</f>
        <v>70</v>
      </c>
      <c r="I35" s="4"/>
      <c r="J35" s="4"/>
      <c r="K35" s="4"/>
    </row>
    <row r="36" spans="1:11" x14ac:dyDescent="0.2">
      <c r="A36" s="35"/>
      <c r="B36" s="32" t="s">
        <v>68</v>
      </c>
      <c r="C36" s="6"/>
      <c r="D36" s="6"/>
      <c r="E36" s="76">
        <v>0</v>
      </c>
      <c r="F36" s="57">
        <f t="shared" si="3"/>
        <v>70</v>
      </c>
      <c r="G36" s="76">
        <v>0</v>
      </c>
      <c r="H36" s="79">
        <f t="shared" si="4"/>
        <v>70</v>
      </c>
      <c r="I36" s="4"/>
      <c r="J36" s="4"/>
      <c r="K36" s="4"/>
    </row>
    <row r="37" spans="1:11" x14ac:dyDescent="0.2">
      <c r="A37" s="35"/>
      <c r="B37" s="32" t="s">
        <v>67</v>
      </c>
      <c r="C37" s="6"/>
      <c r="D37" s="6"/>
      <c r="E37" s="76">
        <v>0</v>
      </c>
      <c r="F37" s="57">
        <f t="shared" si="3"/>
        <v>75</v>
      </c>
      <c r="G37" s="76">
        <v>0</v>
      </c>
      <c r="H37" s="79">
        <f t="shared" si="4"/>
        <v>75</v>
      </c>
      <c r="I37" s="4"/>
      <c r="J37" s="4"/>
      <c r="K37" s="4"/>
    </row>
    <row r="38" spans="1:11" x14ac:dyDescent="0.2">
      <c r="A38" s="48"/>
      <c r="B38" s="6" t="s">
        <v>66</v>
      </c>
      <c r="C38" s="6"/>
      <c r="D38" s="6"/>
      <c r="E38" s="76">
        <v>0</v>
      </c>
      <c r="F38" s="57">
        <f t="shared" si="3"/>
        <v>75</v>
      </c>
      <c r="G38" s="76">
        <v>0</v>
      </c>
      <c r="H38" s="79">
        <f t="shared" si="4"/>
        <v>75</v>
      </c>
      <c r="I38" s="4"/>
      <c r="J38" s="4"/>
      <c r="K38" s="4"/>
    </row>
    <row r="39" spans="1:11" x14ac:dyDescent="0.2">
      <c r="A39" s="48"/>
      <c r="B39" s="6" t="s">
        <v>65</v>
      </c>
      <c r="C39" s="6"/>
      <c r="D39" s="6"/>
      <c r="E39" s="76">
        <v>0</v>
      </c>
      <c r="F39" s="57">
        <f t="shared" si="3"/>
        <v>75</v>
      </c>
      <c r="G39" s="76">
        <v>0</v>
      </c>
      <c r="H39" s="79">
        <f t="shared" si="4"/>
        <v>75</v>
      </c>
      <c r="I39" s="4"/>
      <c r="J39" s="4"/>
      <c r="K39" s="4"/>
    </row>
    <row r="40" spans="1:11" x14ac:dyDescent="0.2">
      <c r="A40" s="49"/>
      <c r="B40" s="9" t="s">
        <v>64</v>
      </c>
      <c r="C40" s="9"/>
      <c r="D40" s="9"/>
      <c r="E40" s="77">
        <v>0</v>
      </c>
      <c r="F40" s="57">
        <f t="shared" si="3"/>
        <v>70</v>
      </c>
      <c r="G40" s="77">
        <v>0</v>
      </c>
      <c r="H40" s="79">
        <f t="shared" si="4"/>
        <v>70</v>
      </c>
    </row>
    <row r="41" spans="1:11" x14ac:dyDescent="0.2">
      <c r="A41" s="38"/>
      <c r="B41" s="39" t="s">
        <v>11</v>
      </c>
      <c r="C41" s="39"/>
      <c r="D41" s="39"/>
      <c r="E41" s="78">
        <f>SUM(E35:E40)</f>
        <v>0</v>
      </c>
      <c r="F41" s="36"/>
      <c r="G41" s="78">
        <f>SUM(G35:G40)</f>
        <v>0</v>
      </c>
      <c r="H41" s="36"/>
    </row>
    <row r="42" spans="1:11" x14ac:dyDescent="0.2">
      <c r="A42" s="6"/>
      <c r="B42" s="4"/>
      <c r="C42" s="4"/>
      <c r="D42" s="4"/>
      <c r="I42" s="4"/>
      <c r="J42" s="4"/>
      <c r="K42" s="4"/>
    </row>
    <row r="43" spans="1:11" x14ac:dyDescent="0.2">
      <c r="A43" s="6"/>
      <c r="B43" s="4"/>
      <c r="C43" s="4"/>
      <c r="D43" s="4"/>
      <c r="I43" s="4"/>
      <c r="J43" s="4"/>
      <c r="K43" s="4"/>
    </row>
    <row r="44" spans="1:11" x14ac:dyDescent="0.2">
      <c r="A44" s="42" t="s">
        <v>276</v>
      </c>
      <c r="B44" s="27"/>
      <c r="C44" s="27"/>
      <c r="D44" s="27"/>
      <c r="E44" s="332" t="s">
        <v>9</v>
      </c>
      <c r="F44" s="333"/>
      <c r="G44" s="332" t="s">
        <v>10</v>
      </c>
      <c r="H44" s="333"/>
      <c r="I44" s="4"/>
      <c r="J44" s="4"/>
      <c r="K44" s="4"/>
    </row>
    <row r="45" spans="1:11" ht="38.25" x14ac:dyDescent="0.2">
      <c r="A45" s="44"/>
      <c r="B45" s="13"/>
      <c r="C45" s="13"/>
      <c r="D45" s="13"/>
      <c r="E45" s="51" t="s">
        <v>8</v>
      </c>
      <c r="F45" s="75" t="s">
        <v>70</v>
      </c>
      <c r="G45" s="51" t="s">
        <v>8</v>
      </c>
      <c r="H45" s="75" t="s">
        <v>70</v>
      </c>
      <c r="I45" s="4"/>
      <c r="J45" s="4"/>
      <c r="K45" s="4"/>
    </row>
    <row r="46" spans="1:11" x14ac:dyDescent="0.2">
      <c r="A46" s="35"/>
      <c r="B46" s="32"/>
      <c r="C46" s="6"/>
      <c r="D46" s="6"/>
      <c r="E46" s="53"/>
      <c r="F46" s="54"/>
      <c r="G46" s="53"/>
      <c r="H46" s="54"/>
      <c r="I46" s="4"/>
      <c r="J46" s="4"/>
      <c r="K46" s="4"/>
    </row>
    <row r="47" spans="1:11" x14ac:dyDescent="0.2">
      <c r="A47" s="35"/>
      <c r="B47" s="32" t="s">
        <v>277</v>
      </c>
      <c r="C47" s="6"/>
      <c r="D47" s="6"/>
      <c r="E47" s="76">
        <v>0</v>
      </c>
      <c r="F47" s="54">
        <v>0</v>
      </c>
      <c r="G47" s="76">
        <v>0</v>
      </c>
      <c r="H47" s="79">
        <f t="shared" ref="H47:H52" si="5">+F47</f>
        <v>0</v>
      </c>
      <c r="I47" s="4"/>
      <c r="J47" s="4"/>
      <c r="K47" s="4"/>
    </row>
    <row r="48" spans="1:11" x14ac:dyDescent="0.2">
      <c r="A48" s="35"/>
      <c r="B48" s="32" t="s">
        <v>278</v>
      </c>
      <c r="C48" s="6"/>
      <c r="D48" s="6"/>
      <c r="E48" s="76">
        <v>0</v>
      </c>
      <c r="F48" s="54">
        <v>0</v>
      </c>
      <c r="G48" s="76">
        <v>0</v>
      </c>
      <c r="H48" s="79">
        <f t="shared" si="5"/>
        <v>0</v>
      </c>
      <c r="I48" s="4"/>
      <c r="J48" s="4"/>
      <c r="K48" s="4"/>
    </row>
    <row r="49" spans="1:11" x14ac:dyDescent="0.2">
      <c r="A49" s="35"/>
      <c r="B49" s="32" t="s">
        <v>279</v>
      </c>
      <c r="C49" s="6"/>
      <c r="D49" s="6"/>
      <c r="E49" s="76">
        <v>0</v>
      </c>
      <c r="F49" s="54">
        <v>65</v>
      </c>
      <c r="G49" s="76">
        <v>0</v>
      </c>
      <c r="H49" s="79">
        <f t="shared" si="5"/>
        <v>65</v>
      </c>
      <c r="I49" s="4"/>
      <c r="J49" s="4"/>
      <c r="K49" s="4"/>
    </row>
    <row r="50" spans="1:11" x14ac:dyDescent="0.2">
      <c r="A50" s="48"/>
      <c r="B50" s="32" t="s">
        <v>280</v>
      </c>
      <c r="C50" s="6"/>
      <c r="D50" s="6"/>
      <c r="E50" s="76">
        <v>0</v>
      </c>
      <c r="F50" s="54">
        <v>0</v>
      </c>
      <c r="G50" s="76">
        <v>0</v>
      </c>
      <c r="H50" s="79">
        <f t="shared" si="5"/>
        <v>0</v>
      </c>
      <c r="I50" s="4"/>
      <c r="J50" s="4"/>
      <c r="K50" s="4"/>
    </row>
    <row r="51" spans="1:11" x14ac:dyDescent="0.2">
      <c r="A51" s="48"/>
      <c r="B51" s="32" t="s">
        <v>281</v>
      </c>
      <c r="C51" s="6"/>
      <c r="D51" s="6"/>
      <c r="E51" s="76">
        <v>0</v>
      </c>
      <c r="F51" s="54">
        <v>0</v>
      </c>
      <c r="G51" s="76">
        <v>0</v>
      </c>
      <c r="H51" s="79">
        <f t="shared" si="5"/>
        <v>0</v>
      </c>
      <c r="I51" s="4"/>
      <c r="J51" s="4"/>
      <c r="K51" s="4"/>
    </row>
    <row r="52" spans="1:11" x14ac:dyDescent="0.2">
      <c r="A52" s="48"/>
      <c r="B52" s="32" t="s">
        <v>282</v>
      </c>
      <c r="C52" s="6"/>
      <c r="D52" s="6"/>
      <c r="E52" s="76">
        <v>0</v>
      </c>
      <c r="F52" s="54">
        <v>0</v>
      </c>
      <c r="G52" s="76">
        <v>0</v>
      </c>
      <c r="H52" s="79">
        <f t="shared" si="5"/>
        <v>0</v>
      </c>
      <c r="I52" s="4"/>
      <c r="J52" s="4"/>
      <c r="K52" s="4"/>
    </row>
    <row r="53" spans="1:11" x14ac:dyDescent="0.2">
      <c r="A53" s="48"/>
      <c r="B53" s="32" t="s">
        <v>284</v>
      </c>
      <c r="C53" s="6"/>
      <c r="D53" s="6"/>
      <c r="E53" s="76">
        <v>0</v>
      </c>
      <c r="F53" s="54">
        <v>0</v>
      </c>
      <c r="G53" s="76">
        <v>0</v>
      </c>
      <c r="H53" s="79">
        <f t="shared" ref="H53" si="6">+F53</f>
        <v>0</v>
      </c>
      <c r="I53" s="4"/>
      <c r="J53" s="4"/>
      <c r="K53" s="4"/>
    </row>
    <row r="54" spans="1:11" x14ac:dyDescent="0.2">
      <c r="A54" s="38"/>
      <c r="B54" s="39" t="s">
        <v>11</v>
      </c>
      <c r="C54" s="39"/>
      <c r="D54" s="39"/>
      <c r="E54" s="78">
        <f>SUM(E47:E53)</f>
        <v>0</v>
      </c>
      <c r="F54" s="36"/>
      <c r="G54" s="78">
        <f>SUM(G47:G53)</f>
        <v>0</v>
      </c>
      <c r="H54" s="36"/>
      <c r="I54" s="4"/>
      <c r="J54" s="4"/>
      <c r="K54" s="4"/>
    </row>
    <row r="55" spans="1:11" x14ac:dyDescent="0.2">
      <c r="A55" s="6"/>
      <c r="B55" s="4"/>
      <c r="C55" s="4"/>
      <c r="D55" s="4"/>
      <c r="I55" s="4"/>
      <c r="J55" s="4"/>
      <c r="K55" s="4"/>
    </row>
    <row r="56" spans="1:11" x14ac:dyDescent="0.2">
      <c r="A56" s="6"/>
      <c r="B56" s="4"/>
      <c r="C56" s="4"/>
      <c r="D56" s="4"/>
      <c r="I56" s="4"/>
      <c r="J56" s="4"/>
      <c r="K56" s="4"/>
    </row>
    <row r="57" spans="1:11" s="1" customFormat="1" ht="15" x14ac:dyDescent="0.2">
      <c r="A57" s="42" t="s">
        <v>239</v>
      </c>
      <c r="B57" s="27"/>
      <c r="C57" s="27"/>
      <c r="D57" s="27"/>
      <c r="E57" s="332" t="s">
        <v>9</v>
      </c>
      <c r="F57" s="333"/>
      <c r="G57" s="332" t="s">
        <v>10</v>
      </c>
      <c r="H57" s="333"/>
    </row>
    <row r="58" spans="1:11" s="1" customFormat="1" ht="38.25" x14ac:dyDescent="0.2">
      <c r="A58" s="44"/>
      <c r="B58" s="13"/>
      <c r="C58" s="13"/>
      <c r="D58" s="13"/>
      <c r="E58" s="51" t="s">
        <v>8</v>
      </c>
      <c r="F58" s="75" t="s">
        <v>70</v>
      </c>
      <c r="G58" s="51" t="s">
        <v>8</v>
      </c>
      <c r="H58" s="75" t="s">
        <v>70</v>
      </c>
    </row>
    <row r="59" spans="1:11" x14ac:dyDescent="0.2">
      <c r="A59" s="35"/>
      <c r="B59" s="32"/>
      <c r="C59" s="6"/>
      <c r="D59" s="6"/>
      <c r="E59" s="53"/>
      <c r="F59" s="54"/>
      <c r="G59" s="53"/>
      <c r="H59" s="54"/>
      <c r="I59" s="4"/>
      <c r="J59" s="4"/>
      <c r="K59" s="4"/>
    </row>
    <row r="60" spans="1:11" x14ac:dyDescent="0.2">
      <c r="A60" s="35"/>
      <c r="B60" s="32" t="s">
        <v>69</v>
      </c>
      <c r="C60" s="6"/>
      <c r="D60" s="6"/>
      <c r="E60" s="156">
        <f t="shared" ref="E60:E65" si="7">+E11+E23-E35</f>
        <v>0</v>
      </c>
      <c r="F60" s="57">
        <f t="shared" ref="F60:F65" si="8">+F11</f>
        <v>70</v>
      </c>
      <c r="G60" s="156">
        <f t="shared" ref="G60:G65" si="9">+G11+G23-G35</f>
        <v>0</v>
      </c>
      <c r="H60" s="79">
        <f t="shared" ref="H60:H65" si="10">+F60</f>
        <v>70</v>
      </c>
      <c r="I60" s="4"/>
      <c r="J60" s="4"/>
      <c r="K60" s="4"/>
    </row>
    <row r="61" spans="1:11" x14ac:dyDescent="0.2">
      <c r="A61" s="35"/>
      <c r="B61" s="32" t="s">
        <v>68</v>
      </c>
      <c r="C61" s="6"/>
      <c r="D61" s="6"/>
      <c r="E61" s="156">
        <f t="shared" si="7"/>
        <v>0</v>
      </c>
      <c r="F61" s="57">
        <f t="shared" si="8"/>
        <v>70</v>
      </c>
      <c r="G61" s="156">
        <f t="shared" si="9"/>
        <v>0</v>
      </c>
      <c r="H61" s="79">
        <f t="shared" si="10"/>
        <v>70</v>
      </c>
      <c r="I61" s="4"/>
      <c r="J61" s="4"/>
      <c r="K61" s="4"/>
    </row>
    <row r="62" spans="1:11" x14ac:dyDescent="0.2">
      <c r="A62" s="35"/>
      <c r="B62" s="32" t="s">
        <v>67</v>
      </c>
      <c r="C62" s="6"/>
      <c r="D62" s="6"/>
      <c r="E62" s="156">
        <f t="shared" si="7"/>
        <v>0</v>
      </c>
      <c r="F62" s="57">
        <f t="shared" si="8"/>
        <v>75</v>
      </c>
      <c r="G62" s="156">
        <f t="shared" si="9"/>
        <v>0</v>
      </c>
      <c r="H62" s="79">
        <f t="shared" si="10"/>
        <v>75</v>
      </c>
      <c r="I62" s="4"/>
      <c r="J62" s="4"/>
      <c r="K62" s="4"/>
    </row>
    <row r="63" spans="1:11" x14ac:dyDescent="0.2">
      <c r="A63" s="48"/>
      <c r="B63" s="6" t="s">
        <v>66</v>
      </c>
      <c r="C63" s="6"/>
      <c r="D63" s="6"/>
      <c r="E63" s="156">
        <f t="shared" si="7"/>
        <v>0</v>
      </c>
      <c r="F63" s="57">
        <f t="shared" si="8"/>
        <v>75</v>
      </c>
      <c r="G63" s="156">
        <f t="shared" si="9"/>
        <v>0</v>
      </c>
      <c r="H63" s="79">
        <f t="shared" si="10"/>
        <v>75</v>
      </c>
      <c r="I63" s="4"/>
      <c r="J63" s="4"/>
      <c r="K63" s="4"/>
    </row>
    <row r="64" spans="1:11" x14ac:dyDescent="0.2">
      <c r="A64" s="48"/>
      <c r="B64" s="6" t="s">
        <v>65</v>
      </c>
      <c r="C64" s="6"/>
      <c r="D64" s="6"/>
      <c r="E64" s="156">
        <f t="shared" si="7"/>
        <v>288</v>
      </c>
      <c r="F64" s="57">
        <f t="shared" si="8"/>
        <v>75</v>
      </c>
      <c r="G64" s="156">
        <f t="shared" si="9"/>
        <v>288</v>
      </c>
      <c r="H64" s="79">
        <f t="shared" si="10"/>
        <v>75</v>
      </c>
      <c r="I64" s="4"/>
      <c r="J64" s="4"/>
      <c r="K64" s="4"/>
    </row>
    <row r="65" spans="1:11" x14ac:dyDescent="0.2">
      <c r="A65" s="49"/>
      <c r="B65" s="9" t="s">
        <v>64</v>
      </c>
      <c r="C65" s="9"/>
      <c r="D65" s="9"/>
      <c r="E65" s="163">
        <f t="shared" si="7"/>
        <v>0</v>
      </c>
      <c r="F65" s="57">
        <f t="shared" si="8"/>
        <v>70</v>
      </c>
      <c r="G65" s="163">
        <f t="shared" si="9"/>
        <v>0</v>
      </c>
      <c r="H65" s="83">
        <f t="shared" si="10"/>
        <v>70</v>
      </c>
    </row>
    <row r="66" spans="1:11" x14ac:dyDescent="0.2">
      <c r="A66" s="149"/>
      <c r="B66" s="45" t="s">
        <v>283</v>
      </c>
      <c r="C66" s="150"/>
      <c r="D66" s="150"/>
      <c r="E66" s="159">
        <f>SUBTOTAL(9,E60:E65)</f>
        <v>288</v>
      </c>
      <c r="F66" s="213"/>
      <c r="G66" s="159">
        <f>SUBTOTAL(9,G60:G65)</f>
        <v>288</v>
      </c>
      <c r="H66" s="88"/>
    </row>
    <row r="67" spans="1:11" x14ac:dyDescent="0.2">
      <c r="A67" s="48"/>
      <c r="B67" s="6" t="s">
        <v>277</v>
      </c>
      <c r="C67" s="6"/>
      <c r="D67" s="6"/>
      <c r="E67" s="156">
        <f t="shared" ref="E67:H73" si="11">+E47</f>
        <v>0</v>
      </c>
      <c r="F67" s="57">
        <f t="shared" si="11"/>
        <v>0</v>
      </c>
      <c r="G67" s="156">
        <f t="shared" si="11"/>
        <v>0</v>
      </c>
      <c r="H67" s="57">
        <f t="shared" si="11"/>
        <v>0</v>
      </c>
    </row>
    <row r="68" spans="1:11" x14ac:dyDescent="0.2">
      <c r="A68" s="48"/>
      <c r="B68" s="6" t="s">
        <v>278</v>
      </c>
      <c r="C68" s="6"/>
      <c r="D68" s="6"/>
      <c r="E68" s="156">
        <f t="shared" si="11"/>
        <v>0</v>
      </c>
      <c r="F68" s="57">
        <f t="shared" si="11"/>
        <v>0</v>
      </c>
      <c r="G68" s="156">
        <f t="shared" si="11"/>
        <v>0</v>
      </c>
      <c r="H68" s="57">
        <f t="shared" si="11"/>
        <v>0</v>
      </c>
    </row>
    <row r="69" spans="1:11" x14ac:dyDescent="0.2">
      <c r="A69" s="48"/>
      <c r="B69" s="6" t="s">
        <v>279</v>
      </c>
      <c r="C69" s="6"/>
      <c r="D69" s="6"/>
      <c r="E69" s="156">
        <f t="shared" si="11"/>
        <v>0</v>
      </c>
      <c r="F69" s="57">
        <f t="shared" si="11"/>
        <v>65</v>
      </c>
      <c r="G69" s="156">
        <f t="shared" si="11"/>
        <v>0</v>
      </c>
      <c r="H69" s="57">
        <f t="shared" si="11"/>
        <v>65</v>
      </c>
    </row>
    <row r="70" spans="1:11" x14ac:dyDescent="0.2">
      <c r="A70" s="48"/>
      <c r="B70" s="6" t="s">
        <v>280</v>
      </c>
      <c r="C70" s="6"/>
      <c r="D70" s="6"/>
      <c r="E70" s="156">
        <f t="shared" si="11"/>
        <v>0</v>
      </c>
      <c r="F70" s="57">
        <f t="shared" si="11"/>
        <v>0</v>
      </c>
      <c r="G70" s="156">
        <f t="shared" si="11"/>
        <v>0</v>
      </c>
      <c r="H70" s="57">
        <f t="shared" si="11"/>
        <v>0</v>
      </c>
    </row>
    <row r="71" spans="1:11" x14ac:dyDescent="0.2">
      <c r="A71" s="48"/>
      <c r="B71" s="6" t="s">
        <v>281</v>
      </c>
      <c r="C71" s="6"/>
      <c r="D71" s="6"/>
      <c r="E71" s="156">
        <f t="shared" si="11"/>
        <v>0</v>
      </c>
      <c r="F71" s="57">
        <f t="shared" si="11"/>
        <v>0</v>
      </c>
      <c r="G71" s="156">
        <f t="shared" si="11"/>
        <v>0</v>
      </c>
      <c r="H71" s="57">
        <f t="shared" si="11"/>
        <v>0</v>
      </c>
    </row>
    <row r="72" spans="1:11" x14ac:dyDescent="0.2">
      <c r="A72" s="48"/>
      <c r="B72" s="32" t="s">
        <v>282</v>
      </c>
      <c r="C72" s="6"/>
      <c r="D72" s="6"/>
      <c r="E72" s="156">
        <f t="shared" si="11"/>
        <v>0</v>
      </c>
      <c r="F72" s="57">
        <f t="shared" si="11"/>
        <v>0</v>
      </c>
      <c r="G72" s="156">
        <f t="shared" si="11"/>
        <v>0</v>
      </c>
      <c r="H72" s="57">
        <f t="shared" si="11"/>
        <v>0</v>
      </c>
    </row>
    <row r="73" spans="1:11" x14ac:dyDescent="0.2">
      <c r="A73" s="48"/>
      <c r="B73" s="32" t="s">
        <v>284</v>
      </c>
      <c r="C73" s="6"/>
      <c r="D73" s="6"/>
      <c r="E73" s="156">
        <f t="shared" si="11"/>
        <v>0</v>
      </c>
      <c r="F73" s="57">
        <f t="shared" si="11"/>
        <v>0</v>
      </c>
      <c r="G73" s="156">
        <f t="shared" si="11"/>
        <v>0</v>
      </c>
      <c r="H73" s="57">
        <f t="shared" si="11"/>
        <v>0</v>
      </c>
    </row>
    <row r="74" spans="1:11" x14ac:dyDescent="0.2">
      <c r="A74" s="38"/>
      <c r="B74" s="39" t="s">
        <v>11</v>
      </c>
      <c r="C74" s="39"/>
      <c r="D74" s="39"/>
      <c r="E74" s="78">
        <f>SUBTOTAL(9,E59:E73)</f>
        <v>288</v>
      </c>
      <c r="F74" s="36"/>
      <c r="G74" s="78">
        <f>SUBTOTAL(9,G59:G73)</f>
        <v>288</v>
      </c>
      <c r="H74" s="36"/>
    </row>
    <row r="75" spans="1:11" x14ac:dyDescent="0.2">
      <c r="A75" s="6"/>
      <c r="B75" s="4"/>
      <c r="C75" s="4"/>
      <c r="D75" s="4"/>
      <c r="I75" s="4"/>
      <c r="J75" s="4"/>
      <c r="K75" s="4"/>
    </row>
    <row r="76" spans="1:11" x14ac:dyDescent="0.2">
      <c r="A76" s="6"/>
      <c r="B76" s="4"/>
      <c r="C76" s="4"/>
      <c r="D76" s="4"/>
      <c r="I76" s="4"/>
      <c r="J76" s="4"/>
      <c r="K76" s="4"/>
    </row>
    <row r="77" spans="1:11" s="1" customFormat="1" ht="15" x14ac:dyDescent="0.2">
      <c r="A77" s="42" t="s">
        <v>99</v>
      </c>
      <c r="B77" s="27"/>
      <c r="C77" s="27"/>
      <c r="D77" s="27"/>
      <c r="E77" s="332" t="s">
        <v>9</v>
      </c>
      <c r="F77" s="333"/>
      <c r="G77" s="332" t="s">
        <v>10</v>
      </c>
      <c r="H77" s="333"/>
    </row>
    <row r="78" spans="1:11" s="1" customFormat="1" ht="15" x14ac:dyDescent="0.2">
      <c r="A78" s="44"/>
      <c r="B78" s="13"/>
      <c r="C78" s="13"/>
      <c r="D78" s="13"/>
      <c r="E78" s="51" t="s">
        <v>2</v>
      </c>
      <c r="F78" s="75"/>
      <c r="G78" s="51" t="s">
        <v>2</v>
      </c>
      <c r="H78" s="75"/>
    </row>
    <row r="79" spans="1:11" x14ac:dyDescent="0.2">
      <c r="A79" s="35"/>
      <c r="B79" s="32"/>
      <c r="C79" s="6"/>
      <c r="D79" s="6"/>
      <c r="E79" s="53"/>
      <c r="F79" s="54"/>
      <c r="G79" s="53"/>
      <c r="H79" s="54"/>
      <c r="I79" s="4"/>
      <c r="J79" s="4"/>
      <c r="K79" s="4"/>
    </row>
    <row r="80" spans="1:11" x14ac:dyDescent="0.2">
      <c r="A80" s="35"/>
      <c r="B80" s="32" t="s">
        <v>63</v>
      </c>
      <c r="C80" s="6"/>
      <c r="D80" s="6"/>
      <c r="E80" s="76">
        <v>1.4</v>
      </c>
      <c r="F80" s="54"/>
      <c r="G80" s="76">
        <v>1.63</v>
      </c>
      <c r="H80" s="79"/>
      <c r="I80" s="4"/>
      <c r="J80" s="4"/>
      <c r="K80" s="4"/>
    </row>
    <row r="81" spans="1:12" x14ac:dyDescent="0.2">
      <c r="A81" s="35"/>
      <c r="B81" s="32" t="s">
        <v>275</v>
      </c>
      <c r="C81" s="6"/>
      <c r="D81" s="6"/>
      <c r="E81" s="76">
        <v>1.4</v>
      </c>
      <c r="F81" s="54"/>
      <c r="G81" s="76"/>
      <c r="H81" s="79"/>
      <c r="I81" s="4"/>
      <c r="J81" s="4"/>
      <c r="K81" s="4"/>
    </row>
    <row r="82" spans="1:12" x14ac:dyDescent="0.2">
      <c r="A82" s="35"/>
      <c r="B82" s="32"/>
      <c r="C82" s="6"/>
      <c r="D82" s="6"/>
      <c r="E82" s="76"/>
      <c r="F82" s="54"/>
      <c r="G82" s="76"/>
      <c r="H82" s="79"/>
      <c r="I82" s="4"/>
      <c r="J82" s="4"/>
      <c r="K82" s="4"/>
    </row>
    <row r="83" spans="1:12" x14ac:dyDescent="0.2">
      <c r="A83" s="99"/>
      <c r="B83" s="80" t="s">
        <v>62</v>
      </c>
      <c r="C83" s="80"/>
      <c r="D83" s="80"/>
      <c r="E83" s="100">
        <f>E74/E80</f>
        <v>205.71428571428572</v>
      </c>
      <c r="F83" s="65"/>
      <c r="G83" s="100">
        <f>G74/G80</f>
        <v>176.68711656441718</v>
      </c>
      <c r="H83" s="65"/>
    </row>
    <row r="84" spans="1:12" x14ac:dyDescent="0.2">
      <c r="A84" s="35"/>
      <c r="B84" s="32"/>
      <c r="C84" s="6"/>
      <c r="D84" s="6"/>
      <c r="E84" s="76"/>
      <c r="F84" s="54"/>
      <c r="G84" s="76"/>
      <c r="H84" s="79"/>
      <c r="I84" s="4"/>
      <c r="J84" s="4"/>
      <c r="K84" s="4"/>
    </row>
    <row r="85" spans="1:12" x14ac:dyDescent="0.2">
      <c r="A85" s="35"/>
      <c r="B85" s="80" t="s">
        <v>100</v>
      </c>
      <c r="C85" s="6"/>
      <c r="D85" s="6"/>
      <c r="E85" s="76"/>
      <c r="F85" s="54"/>
      <c r="G85" s="76"/>
      <c r="H85" s="79"/>
      <c r="I85" s="4"/>
      <c r="J85" s="4"/>
      <c r="K85" s="4"/>
    </row>
    <row r="86" spans="1:12" x14ac:dyDescent="0.2">
      <c r="A86" s="35"/>
      <c r="B86" s="32" t="s">
        <v>61</v>
      </c>
      <c r="C86" s="6"/>
      <c r="D86" s="6"/>
      <c r="E86" s="76">
        <v>251.85</v>
      </c>
      <c r="F86" s="54"/>
      <c r="G86" s="76">
        <v>251.85</v>
      </c>
      <c r="H86" s="54"/>
      <c r="I86" s="4"/>
      <c r="J86" s="4"/>
      <c r="K86" s="4"/>
    </row>
    <row r="87" spans="1:12" x14ac:dyDescent="0.2">
      <c r="A87" s="35"/>
      <c r="B87" s="32" t="s">
        <v>60</v>
      </c>
      <c r="C87" s="6"/>
      <c r="D87" s="6"/>
      <c r="E87" s="76">
        <v>0</v>
      </c>
      <c r="F87" s="54"/>
      <c r="G87" s="76">
        <v>0</v>
      </c>
      <c r="H87" s="79"/>
      <c r="I87" s="4"/>
      <c r="J87" s="4"/>
      <c r="K87" s="4"/>
    </row>
    <row r="88" spans="1:12" x14ac:dyDescent="0.2">
      <c r="A88" s="35"/>
      <c r="B88" s="32" t="s">
        <v>59</v>
      </c>
      <c r="C88" s="6"/>
      <c r="D88" s="6"/>
      <c r="E88" s="76">
        <v>0</v>
      </c>
      <c r="F88" s="54"/>
      <c r="G88" s="76">
        <v>0</v>
      </c>
      <c r="H88" s="79"/>
      <c r="I88" s="4"/>
      <c r="J88" s="4"/>
      <c r="K88" s="4"/>
    </row>
    <row r="89" spans="1:12" x14ac:dyDescent="0.2">
      <c r="A89" s="38"/>
      <c r="B89" s="39" t="s">
        <v>58</v>
      </c>
      <c r="C89" s="39"/>
      <c r="D89" s="39"/>
      <c r="E89" s="78">
        <f>(E86+E87+E88)-E83</f>
        <v>46.135714285714272</v>
      </c>
      <c r="F89" s="36"/>
      <c r="G89" s="78">
        <f>(G86+G87+G88)-G83</f>
        <v>75.162883435582813</v>
      </c>
      <c r="H89" s="36"/>
    </row>
    <row r="90" spans="1:12" x14ac:dyDescent="0.2">
      <c r="A90" s="47"/>
      <c r="B90" s="45"/>
      <c r="C90" s="150"/>
      <c r="D90" s="150"/>
      <c r="E90" s="87"/>
      <c r="F90" s="213"/>
      <c r="G90" s="87"/>
      <c r="H90" s="213"/>
      <c r="I90" s="4"/>
      <c r="J90" s="4"/>
      <c r="K90" s="4"/>
    </row>
    <row r="91" spans="1:12" x14ac:dyDescent="0.2">
      <c r="A91" s="35"/>
      <c r="B91" s="32" t="s">
        <v>185</v>
      </c>
      <c r="C91" s="6"/>
      <c r="D91" s="6"/>
      <c r="E91" s="304">
        <v>0</v>
      </c>
      <c r="F91" s="305"/>
      <c r="G91" s="304">
        <v>0</v>
      </c>
      <c r="H91" s="305"/>
      <c r="I91" s="306" t="s">
        <v>337</v>
      </c>
      <c r="J91" s="306"/>
      <c r="K91" s="306"/>
      <c r="L91" s="307"/>
    </row>
    <row r="92" spans="1:12" x14ac:dyDescent="0.2">
      <c r="A92" s="35"/>
      <c r="B92" s="32" t="s">
        <v>248</v>
      </c>
      <c r="C92" s="6"/>
      <c r="D92" s="6"/>
      <c r="E92" s="76"/>
      <c r="F92" s="54"/>
      <c r="G92" s="76"/>
      <c r="H92" s="54"/>
      <c r="I92" s="4"/>
      <c r="J92" s="4"/>
      <c r="K92" s="4"/>
    </row>
    <row r="93" spans="1:12" x14ac:dyDescent="0.2">
      <c r="A93" s="35"/>
      <c r="B93" s="262" t="s">
        <v>249</v>
      </c>
      <c r="C93" s="6"/>
      <c r="D93" s="6"/>
      <c r="E93" s="76"/>
      <c r="F93" s="54"/>
      <c r="G93" s="76"/>
      <c r="H93" s="54"/>
      <c r="I93" s="4"/>
      <c r="J93" s="4"/>
      <c r="K93" s="4"/>
    </row>
    <row r="94" spans="1:12" x14ac:dyDescent="0.2">
      <c r="A94" s="35"/>
      <c r="B94" s="262" t="s">
        <v>250</v>
      </c>
      <c r="C94" s="6"/>
      <c r="D94" s="6"/>
      <c r="E94" s="76"/>
      <c r="F94" s="54"/>
      <c r="G94" s="76"/>
      <c r="H94" s="54"/>
      <c r="I94" s="4"/>
      <c r="J94" s="4"/>
      <c r="K94" s="4"/>
    </row>
    <row r="95" spans="1:12" x14ac:dyDescent="0.2">
      <c r="A95" s="35"/>
      <c r="B95" s="32" t="s">
        <v>251</v>
      </c>
      <c r="C95" s="6"/>
      <c r="D95" s="6"/>
      <c r="E95" s="76"/>
      <c r="F95" s="54"/>
      <c r="G95" s="76"/>
      <c r="H95" s="54"/>
      <c r="I95" s="4"/>
      <c r="J95" s="4"/>
      <c r="K95" s="4"/>
    </row>
    <row r="96" spans="1:12" x14ac:dyDescent="0.2">
      <c r="A96" s="46"/>
      <c r="B96" s="33"/>
      <c r="C96" s="9"/>
      <c r="D96" s="9"/>
      <c r="E96" s="77"/>
      <c r="F96" s="55"/>
      <c r="G96" s="50"/>
      <c r="H96" s="59"/>
      <c r="I96" s="4"/>
      <c r="J96" s="4"/>
      <c r="K96" s="4"/>
    </row>
    <row r="97" spans="1:11" x14ac:dyDescent="0.2">
      <c r="A97" s="6"/>
      <c r="B97" s="4"/>
      <c r="C97" s="4"/>
      <c r="D97" s="4"/>
      <c r="I97" s="4"/>
      <c r="J97" s="4"/>
      <c r="K97" s="4"/>
    </row>
    <row r="98" spans="1:11" x14ac:dyDescent="0.2">
      <c r="A98" s="6"/>
      <c r="B98" s="4"/>
      <c r="C98" s="4"/>
      <c r="D98" s="4"/>
      <c r="I98" s="4"/>
      <c r="J98" s="4"/>
      <c r="K98" s="4"/>
    </row>
    <row r="99" spans="1:11" s="1" customFormat="1" ht="15" x14ac:dyDescent="0.2">
      <c r="A99" s="42" t="s">
        <v>101</v>
      </c>
      <c r="B99" s="27"/>
      <c r="C99" s="27"/>
      <c r="D99" s="27"/>
      <c r="E99" s="332" t="s">
        <v>9</v>
      </c>
      <c r="F99" s="333"/>
      <c r="G99" s="332" t="s">
        <v>10</v>
      </c>
      <c r="H99" s="333"/>
      <c r="I99" s="264"/>
    </row>
    <row r="100" spans="1:11" s="1" customFormat="1" ht="25.5" x14ac:dyDescent="0.2">
      <c r="A100" s="44"/>
      <c r="B100" s="293" t="s">
        <v>316</v>
      </c>
      <c r="C100" s="13"/>
      <c r="D100" s="13"/>
      <c r="E100" s="82" t="s">
        <v>228</v>
      </c>
      <c r="F100" s="75"/>
      <c r="G100" s="82" t="s">
        <v>228</v>
      </c>
      <c r="H100" s="75"/>
      <c r="I100" s="264"/>
    </row>
    <row r="101" spans="1:11" x14ac:dyDescent="0.2">
      <c r="A101" s="35"/>
      <c r="B101" s="32"/>
      <c r="C101" s="6"/>
      <c r="D101" s="6"/>
      <c r="E101" s="76"/>
      <c r="F101" s="58"/>
      <c r="G101" s="76"/>
      <c r="H101" s="79"/>
      <c r="I101" s="265"/>
      <c r="J101" s="4"/>
      <c r="K101" s="4"/>
    </row>
    <row r="102" spans="1:11" x14ac:dyDescent="0.2">
      <c r="A102" s="35"/>
      <c r="B102" s="32" t="s">
        <v>4</v>
      </c>
      <c r="C102" s="6"/>
      <c r="D102" s="6"/>
      <c r="E102" s="76">
        <v>9.3000000000000007</v>
      </c>
      <c r="F102" s="58"/>
      <c r="G102" s="76">
        <v>9.3000000000000007</v>
      </c>
      <c r="H102" s="79"/>
      <c r="I102" s="265"/>
      <c r="J102" s="4"/>
      <c r="K102" s="4"/>
    </row>
    <row r="103" spans="1:11" x14ac:dyDescent="0.2">
      <c r="A103" s="35"/>
      <c r="B103" s="32" t="s">
        <v>12</v>
      </c>
      <c r="C103" s="6"/>
      <c r="D103" s="6"/>
      <c r="E103" s="76">
        <v>9.3000000000000007</v>
      </c>
      <c r="F103" s="58"/>
      <c r="G103" s="76">
        <v>9.3000000000000007</v>
      </c>
      <c r="H103" s="79"/>
      <c r="I103" s="265"/>
      <c r="J103" s="4"/>
      <c r="K103" s="4"/>
    </row>
    <row r="104" spans="1:11" x14ac:dyDescent="0.2">
      <c r="A104" s="35"/>
      <c r="B104" s="32" t="s">
        <v>5</v>
      </c>
      <c r="C104" s="6"/>
      <c r="D104" s="6"/>
      <c r="E104" s="76">
        <v>4.5</v>
      </c>
      <c r="F104" s="58"/>
      <c r="G104" s="76">
        <v>4.5</v>
      </c>
      <c r="H104" s="79"/>
      <c r="I104" s="265"/>
      <c r="J104" s="4"/>
      <c r="K104" s="4"/>
    </row>
    <row r="105" spans="1:11" x14ac:dyDescent="0.2">
      <c r="A105" s="35"/>
      <c r="B105" s="32" t="s">
        <v>13</v>
      </c>
      <c r="C105" s="6"/>
      <c r="D105" s="6"/>
      <c r="E105" s="76">
        <v>4.5999999999999996</v>
      </c>
      <c r="F105" s="58"/>
      <c r="G105" s="76">
        <v>4.5999999999999996</v>
      </c>
      <c r="H105" s="79"/>
      <c r="I105" s="265"/>
      <c r="J105" s="4"/>
      <c r="K105" s="4"/>
    </row>
    <row r="106" spans="1:11" x14ac:dyDescent="0.2">
      <c r="A106" s="35"/>
      <c r="B106" s="32" t="s">
        <v>50</v>
      </c>
      <c r="C106" s="6"/>
      <c r="D106" s="6"/>
      <c r="E106" s="76">
        <v>5.61</v>
      </c>
      <c r="F106" s="58"/>
      <c r="G106" s="76">
        <v>5.61</v>
      </c>
      <c r="H106" s="79"/>
      <c r="I106" s="265"/>
      <c r="J106" s="4"/>
      <c r="K106" s="4"/>
    </row>
    <row r="107" spans="1:11" x14ac:dyDescent="0.2">
      <c r="A107" s="35"/>
      <c r="B107" s="32" t="s">
        <v>3</v>
      </c>
      <c r="C107" s="6"/>
      <c r="D107" s="6"/>
      <c r="E107" s="76">
        <v>0.1</v>
      </c>
      <c r="F107" s="58"/>
      <c r="G107" s="76">
        <v>0.1</v>
      </c>
      <c r="H107" s="79"/>
      <c r="I107" s="265"/>
      <c r="J107" s="4"/>
      <c r="K107" s="4"/>
    </row>
    <row r="108" spans="1:11" x14ac:dyDescent="0.2">
      <c r="A108" s="35"/>
      <c r="B108" s="32"/>
      <c r="C108" s="6"/>
      <c r="D108" s="6"/>
      <c r="E108" s="76"/>
      <c r="F108" s="58"/>
      <c r="G108" s="76"/>
      <c r="H108" s="79"/>
      <c r="I108" s="265"/>
      <c r="J108" s="4"/>
      <c r="K108" s="4"/>
    </row>
    <row r="109" spans="1:11" x14ac:dyDescent="0.2">
      <c r="A109" s="35"/>
      <c r="B109" s="32" t="s">
        <v>286</v>
      </c>
      <c r="C109" s="6"/>
      <c r="D109" s="6"/>
      <c r="E109" s="76">
        <v>20</v>
      </c>
      <c r="F109" s="58"/>
      <c r="G109" s="76">
        <v>20</v>
      </c>
      <c r="H109" s="79"/>
      <c r="I109" s="265"/>
      <c r="J109" s="4"/>
      <c r="K109" s="4"/>
    </row>
    <row r="110" spans="1:11" x14ac:dyDescent="0.2">
      <c r="A110" s="35"/>
      <c r="B110" s="32" t="s">
        <v>285</v>
      </c>
      <c r="C110" s="6"/>
      <c r="D110" s="6"/>
      <c r="E110" s="76">
        <v>25</v>
      </c>
      <c r="F110" s="58"/>
      <c r="G110" s="76">
        <v>25</v>
      </c>
      <c r="H110" s="79"/>
      <c r="I110" s="265"/>
      <c r="J110" s="4"/>
      <c r="K110" s="4"/>
    </row>
    <row r="111" spans="1:11" x14ac:dyDescent="0.2">
      <c r="A111" s="35"/>
      <c r="B111" s="32" t="s">
        <v>287</v>
      </c>
      <c r="C111" s="6"/>
      <c r="D111" s="6"/>
      <c r="E111" s="76">
        <v>30</v>
      </c>
      <c r="F111" s="58"/>
      <c r="G111" s="76">
        <v>30</v>
      </c>
      <c r="H111" s="79"/>
      <c r="I111" s="265"/>
      <c r="J111" s="4"/>
      <c r="K111" s="4"/>
    </row>
    <row r="112" spans="1:11" x14ac:dyDescent="0.2">
      <c r="A112" s="35"/>
      <c r="B112" s="32" t="s">
        <v>288</v>
      </c>
      <c r="C112" s="6"/>
      <c r="D112" s="6"/>
      <c r="E112" s="76">
        <v>12</v>
      </c>
      <c r="F112" s="58"/>
      <c r="G112" s="76">
        <v>12</v>
      </c>
      <c r="H112" s="79"/>
      <c r="I112" s="265"/>
      <c r="J112" s="4"/>
      <c r="K112" s="4"/>
    </row>
    <row r="113" spans="1:11" x14ac:dyDescent="0.2">
      <c r="A113" s="35"/>
      <c r="B113" s="32" t="s">
        <v>289</v>
      </c>
      <c r="C113" s="6"/>
      <c r="D113" s="6"/>
      <c r="E113" s="76">
        <v>48</v>
      </c>
      <c r="F113" s="58"/>
      <c r="G113" s="76">
        <v>48</v>
      </c>
      <c r="H113" s="79"/>
      <c r="I113" s="265"/>
      <c r="J113" s="4"/>
      <c r="K113" s="4"/>
    </row>
    <row r="114" spans="1:11" x14ac:dyDescent="0.2">
      <c r="A114" s="35"/>
      <c r="B114" s="32" t="s">
        <v>290</v>
      </c>
      <c r="C114" s="6"/>
      <c r="D114" s="6"/>
      <c r="E114" s="76">
        <v>40</v>
      </c>
      <c r="F114" s="58"/>
      <c r="G114" s="76">
        <v>40</v>
      </c>
      <c r="H114" s="79"/>
      <c r="I114" s="265"/>
      <c r="J114" s="4"/>
      <c r="K114" s="4"/>
    </row>
    <row r="115" spans="1:11" x14ac:dyDescent="0.2">
      <c r="A115" s="46"/>
      <c r="B115" s="33" t="s">
        <v>291</v>
      </c>
      <c r="C115" s="9"/>
      <c r="D115" s="9"/>
      <c r="E115" s="77">
        <v>26</v>
      </c>
      <c r="F115" s="263"/>
      <c r="G115" s="77">
        <v>26</v>
      </c>
      <c r="H115" s="83"/>
      <c r="I115" s="265"/>
      <c r="J115" s="4"/>
      <c r="K115" s="4"/>
    </row>
    <row r="116" spans="1:11" x14ac:dyDescent="0.2">
      <c r="A116" s="6"/>
      <c r="B116" s="4"/>
      <c r="C116" s="4"/>
      <c r="D116" s="4"/>
      <c r="I116" s="4"/>
      <c r="J116" s="4"/>
      <c r="K116" s="4"/>
    </row>
    <row r="117" spans="1:11" x14ac:dyDescent="0.2">
      <c r="A117" s="6"/>
      <c r="B117" s="4"/>
      <c r="C117" s="4"/>
      <c r="D117" s="4"/>
      <c r="I117" s="4"/>
      <c r="J117" s="4"/>
      <c r="K117" s="4"/>
    </row>
    <row r="118" spans="1:11" s="1" customFormat="1" ht="15" x14ac:dyDescent="0.2">
      <c r="A118" s="42" t="s">
        <v>102</v>
      </c>
      <c r="B118" s="27"/>
      <c r="C118" s="27"/>
      <c r="D118" s="27"/>
      <c r="E118" s="332"/>
      <c r="F118" s="334"/>
      <c r="G118" s="334"/>
      <c r="H118" s="333"/>
    </row>
    <row r="119" spans="1:11" s="1" customFormat="1" ht="51" x14ac:dyDescent="0.2">
      <c r="A119" s="44"/>
      <c r="B119" s="13"/>
      <c r="C119" s="13"/>
      <c r="D119" s="13"/>
      <c r="E119" s="82" t="s">
        <v>43</v>
      </c>
      <c r="F119" s="84" t="s">
        <v>42</v>
      </c>
      <c r="G119" s="84" t="s">
        <v>41</v>
      </c>
      <c r="H119" s="75" t="s">
        <v>40</v>
      </c>
    </row>
    <row r="120" spans="1:11" x14ac:dyDescent="0.2">
      <c r="A120" s="47"/>
      <c r="B120" s="45"/>
      <c r="C120" s="150"/>
      <c r="D120" s="150"/>
      <c r="E120" s="87"/>
      <c r="F120" s="85"/>
      <c r="G120" s="85"/>
      <c r="H120" s="88"/>
      <c r="I120" s="4"/>
      <c r="J120" s="4"/>
      <c r="K120" s="4"/>
    </row>
    <row r="121" spans="1:11" x14ac:dyDescent="0.2">
      <c r="A121" s="35"/>
      <c r="B121" s="32" t="s">
        <v>317</v>
      </c>
      <c r="C121" s="6"/>
      <c r="D121" s="6"/>
      <c r="E121" s="53">
        <v>150</v>
      </c>
      <c r="F121" s="62"/>
      <c r="G121" s="62">
        <v>17</v>
      </c>
      <c r="H121" s="54">
        <v>50</v>
      </c>
      <c r="I121" s="4"/>
      <c r="J121" s="4"/>
      <c r="K121" s="4"/>
    </row>
    <row r="122" spans="1:11" x14ac:dyDescent="0.2">
      <c r="A122" s="46"/>
      <c r="B122" s="33" t="s">
        <v>318</v>
      </c>
      <c r="C122" s="9"/>
      <c r="D122" s="9"/>
      <c r="E122" s="50">
        <v>37088</v>
      </c>
      <c r="F122" s="86"/>
      <c r="G122" s="86"/>
      <c r="H122" s="55"/>
      <c r="I122" s="4"/>
      <c r="J122" s="4"/>
      <c r="K122" s="4"/>
    </row>
    <row r="123" spans="1:11" x14ac:dyDescent="0.2">
      <c r="A123" s="6"/>
      <c r="B123" s="4"/>
      <c r="C123" s="4"/>
      <c r="D123" s="4"/>
      <c r="I123" s="4"/>
      <c r="J123" s="4"/>
      <c r="K123" s="4"/>
    </row>
    <row r="124" spans="1:11" x14ac:dyDescent="0.2">
      <c r="A124" s="6"/>
      <c r="B124" s="4"/>
      <c r="C124" s="4"/>
      <c r="D124" s="4"/>
      <c r="I124" s="4"/>
      <c r="J124" s="4"/>
      <c r="K124" s="4"/>
    </row>
    <row r="125" spans="1:11" s="1" customFormat="1" ht="15" x14ac:dyDescent="0.2">
      <c r="A125" s="42" t="s">
        <v>240</v>
      </c>
      <c r="B125" s="27"/>
      <c r="C125" s="27"/>
      <c r="D125" s="27"/>
      <c r="E125" s="332" t="s">
        <v>9</v>
      </c>
      <c r="F125" s="333"/>
      <c r="G125" s="332" t="s">
        <v>10</v>
      </c>
      <c r="H125" s="333"/>
    </row>
    <row r="126" spans="1:11" s="1" customFormat="1" ht="15" x14ac:dyDescent="0.2">
      <c r="A126" s="44"/>
      <c r="B126" s="13"/>
      <c r="C126" s="13"/>
      <c r="D126" s="13"/>
      <c r="E126" s="82"/>
      <c r="F126" s="75"/>
      <c r="G126" s="82"/>
      <c r="H126" s="75"/>
    </row>
    <row r="127" spans="1:11" x14ac:dyDescent="0.2">
      <c r="A127" s="35"/>
      <c r="B127" s="32"/>
      <c r="C127" s="6"/>
      <c r="D127" s="6"/>
      <c r="E127" s="76"/>
      <c r="F127" s="54"/>
      <c r="G127" s="76"/>
      <c r="H127" s="79"/>
      <c r="I127" s="4"/>
      <c r="J127" s="4"/>
      <c r="K127" s="4"/>
    </row>
    <row r="128" spans="1:11" x14ac:dyDescent="0.2">
      <c r="A128" s="35"/>
      <c r="B128" s="32" t="s">
        <v>241</v>
      </c>
      <c r="C128" s="6"/>
      <c r="D128" s="6"/>
      <c r="E128" s="76">
        <v>0</v>
      </c>
      <c r="F128" s="54"/>
      <c r="G128" s="76"/>
      <c r="H128" s="54"/>
      <c r="I128" s="4"/>
      <c r="J128" s="4"/>
      <c r="K128" s="4"/>
    </row>
    <row r="129" spans="1:11" x14ac:dyDescent="0.2">
      <c r="A129" s="35"/>
      <c r="B129" s="32"/>
      <c r="C129" s="6"/>
      <c r="D129" s="6"/>
      <c r="E129" s="76"/>
      <c r="F129" s="54"/>
      <c r="G129" s="76"/>
      <c r="H129" s="54"/>
      <c r="I129" s="4"/>
      <c r="J129" s="4"/>
      <c r="K129" s="4"/>
    </row>
    <row r="130" spans="1:11" x14ac:dyDescent="0.2">
      <c r="A130" s="35"/>
      <c r="B130" s="32" t="s">
        <v>242</v>
      </c>
      <c r="C130" s="6"/>
      <c r="D130" s="6"/>
      <c r="E130" s="76"/>
      <c r="F130" s="54"/>
      <c r="G130" s="76"/>
      <c r="H130" s="54"/>
      <c r="I130" s="4"/>
      <c r="J130" s="4"/>
      <c r="K130" s="4"/>
    </row>
    <row r="131" spans="1:11" x14ac:dyDescent="0.2">
      <c r="A131" s="46"/>
      <c r="B131" s="33" t="s">
        <v>243</v>
      </c>
      <c r="C131" s="9"/>
      <c r="D131" s="9"/>
      <c r="E131" s="77"/>
      <c r="F131" s="55"/>
      <c r="G131" s="77"/>
      <c r="H131" s="83"/>
      <c r="I131" s="4"/>
      <c r="J131" s="4"/>
      <c r="K131" s="4"/>
    </row>
    <row r="132" spans="1:11" x14ac:dyDescent="0.2">
      <c r="A132" s="6"/>
      <c r="B132" s="4"/>
      <c r="C132" s="4"/>
      <c r="D132" s="4"/>
      <c r="I132" s="4"/>
      <c r="J132" s="4"/>
      <c r="K132" s="4"/>
    </row>
    <row r="133" spans="1:11" x14ac:dyDescent="0.2">
      <c r="A133" s="6"/>
      <c r="B133" s="4"/>
      <c r="C133" s="4"/>
      <c r="D133" s="4"/>
      <c r="I133" s="4"/>
      <c r="J133" s="4"/>
      <c r="K133" s="4"/>
    </row>
    <row r="134" spans="1:11" x14ac:dyDescent="0.2">
      <c r="A134" s="42" t="s">
        <v>127</v>
      </c>
      <c r="B134" s="27"/>
      <c r="C134" s="27"/>
      <c r="D134" s="27"/>
      <c r="E134" s="332" t="s">
        <v>9</v>
      </c>
      <c r="F134" s="334"/>
      <c r="G134" s="332" t="s">
        <v>10</v>
      </c>
      <c r="H134" s="333"/>
      <c r="I134" s="4"/>
      <c r="J134" s="4"/>
      <c r="K134" s="4"/>
    </row>
    <row r="135" spans="1:11" x14ac:dyDescent="0.2">
      <c r="A135" s="44"/>
      <c r="B135" s="13"/>
      <c r="C135" s="13"/>
      <c r="D135" s="13"/>
      <c r="E135" s="82"/>
      <c r="F135" s="84"/>
      <c r="G135" s="82"/>
      <c r="H135" s="75"/>
      <c r="I135" s="4"/>
      <c r="J135" s="4"/>
      <c r="K135" s="4"/>
    </row>
    <row r="136" spans="1:11" x14ac:dyDescent="0.2">
      <c r="A136" s="35"/>
      <c r="B136" s="32"/>
      <c r="C136" s="6"/>
      <c r="D136" s="6"/>
      <c r="E136" s="206"/>
      <c r="F136" s="207"/>
      <c r="G136" s="60"/>
      <c r="H136" s="88"/>
      <c r="I136" s="4"/>
      <c r="J136" s="4"/>
      <c r="K136" s="4"/>
    </row>
    <row r="137" spans="1:11" x14ac:dyDescent="0.2">
      <c r="A137" s="35"/>
      <c r="B137" s="32" t="s">
        <v>338</v>
      </c>
      <c r="C137" s="6"/>
      <c r="D137" s="6"/>
      <c r="E137" s="208"/>
      <c r="F137" s="209"/>
      <c r="G137" s="53">
        <v>3000</v>
      </c>
      <c r="H137" s="57" t="s">
        <v>83</v>
      </c>
      <c r="I137" s="4">
        <v>6423</v>
      </c>
      <c r="J137" s="4"/>
      <c r="K137" s="4"/>
    </row>
    <row r="138" spans="1:11" x14ac:dyDescent="0.2">
      <c r="A138" s="35"/>
      <c r="B138" s="32" t="s">
        <v>294</v>
      </c>
      <c r="C138" s="6"/>
      <c r="D138" s="6"/>
      <c r="E138" s="208"/>
      <c r="F138" s="209"/>
      <c r="G138" s="53">
        <v>0</v>
      </c>
      <c r="H138" s="57" t="s">
        <v>83</v>
      </c>
      <c r="I138" s="4"/>
      <c r="J138" s="4"/>
      <c r="K138" s="4"/>
    </row>
    <row r="139" spans="1:11" x14ac:dyDescent="0.2">
      <c r="A139" s="35"/>
      <c r="B139" s="32" t="s">
        <v>92</v>
      </c>
      <c r="C139" s="6"/>
      <c r="D139" s="6"/>
      <c r="E139" s="208"/>
      <c r="F139" s="209"/>
      <c r="G139" s="53">
        <v>0</v>
      </c>
      <c r="H139" s="57" t="s">
        <v>83</v>
      </c>
      <c r="I139" s="4"/>
      <c r="J139" s="4"/>
      <c r="K139" s="4"/>
    </row>
    <row r="140" spans="1:11" x14ac:dyDescent="0.2">
      <c r="A140" s="35"/>
      <c r="B140" s="32" t="s">
        <v>126</v>
      </c>
      <c r="C140" s="6"/>
      <c r="D140" s="6"/>
      <c r="E140" s="208"/>
      <c r="F140" s="209"/>
      <c r="G140" s="301">
        <f>+'Beregninger med'!C105</f>
        <v>3423.2727272727261</v>
      </c>
      <c r="H140" s="57" t="s">
        <v>83</v>
      </c>
      <c r="I140" s="4"/>
      <c r="J140" s="4"/>
      <c r="K140" s="4"/>
    </row>
    <row r="141" spans="1:11" x14ac:dyDescent="0.2">
      <c r="A141" s="46"/>
      <c r="B141" s="33"/>
      <c r="C141" s="9"/>
      <c r="D141" s="9"/>
      <c r="E141" s="210"/>
      <c r="F141" s="211"/>
      <c r="G141" s="50"/>
      <c r="H141" s="83"/>
      <c r="I141" s="4"/>
      <c r="J141" s="4"/>
      <c r="K141" s="4"/>
    </row>
    <row r="142" spans="1:11" x14ac:dyDescent="0.2">
      <c r="A142" s="6"/>
      <c r="B142" s="4"/>
      <c r="C142" s="4"/>
      <c r="D142" s="4"/>
      <c r="I142" s="4"/>
      <c r="J142" s="4"/>
      <c r="K142" s="4"/>
    </row>
    <row r="143" spans="1:11" x14ac:dyDescent="0.2">
      <c r="A143" s="6"/>
      <c r="B143" s="4"/>
      <c r="C143" s="4"/>
      <c r="D143" s="4"/>
      <c r="I143" s="4"/>
      <c r="J143" s="4"/>
      <c r="K143" s="4"/>
    </row>
    <row r="144" spans="1:11" s="1" customFormat="1" ht="15" x14ac:dyDescent="0.2">
      <c r="A144" s="42" t="s">
        <v>312</v>
      </c>
      <c r="B144" s="27"/>
      <c r="C144" s="27"/>
      <c r="D144" s="27"/>
      <c r="E144" s="332" t="s">
        <v>9</v>
      </c>
      <c r="F144" s="333"/>
      <c r="G144" s="332" t="s">
        <v>10</v>
      </c>
      <c r="H144" s="333"/>
    </row>
    <row r="145" spans="1:11" s="1" customFormat="1" ht="15" x14ac:dyDescent="0.2">
      <c r="A145" s="44"/>
      <c r="B145" s="13"/>
      <c r="C145" s="13"/>
      <c r="D145" s="13"/>
      <c r="E145" s="82"/>
      <c r="F145" s="75"/>
      <c r="G145" s="82"/>
      <c r="H145" s="75"/>
    </row>
    <row r="146" spans="1:11" x14ac:dyDescent="0.2">
      <c r="A146" s="35"/>
      <c r="B146" s="32"/>
      <c r="C146" s="6"/>
      <c r="D146" s="6"/>
      <c r="E146" s="208"/>
      <c r="F146" s="209"/>
      <c r="G146" s="76"/>
      <c r="H146" s="79"/>
      <c r="I146" s="4"/>
      <c r="J146" s="4"/>
      <c r="K146" s="4"/>
    </row>
    <row r="147" spans="1:11" x14ac:dyDescent="0.2">
      <c r="A147" s="35"/>
      <c r="B147" s="32" t="s">
        <v>319</v>
      </c>
      <c r="C147" s="6"/>
      <c r="D147" s="6"/>
      <c r="E147" s="208"/>
      <c r="F147" s="209"/>
      <c r="G147" s="53">
        <v>7</v>
      </c>
      <c r="H147" s="57" t="s">
        <v>233</v>
      </c>
      <c r="I147" s="4"/>
      <c r="J147" s="4"/>
      <c r="K147" s="4"/>
    </row>
    <row r="148" spans="1:11" x14ac:dyDescent="0.2">
      <c r="A148" s="35"/>
      <c r="B148" s="32" t="s">
        <v>314</v>
      </c>
      <c r="C148" s="6"/>
      <c r="D148" s="6"/>
      <c r="E148" s="208"/>
      <c r="F148" s="209"/>
      <c r="G148" s="301">
        <f>+'Beregninger med'!F169</f>
        <v>881.47500000000002</v>
      </c>
      <c r="H148" s="57" t="s">
        <v>83</v>
      </c>
      <c r="I148" s="4"/>
      <c r="J148" s="4"/>
      <c r="K148" s="4"/>
    </row>
    <row r="149" spans="1:11" x14ac:dyDescent="0.2">
      <c r="A149" s="35"/>
      <c r="B149" s="32"/>
      <c r="C149" s="6"/>
      <c r="D149" s="6"/>
      <c r="E149" s="208"/>
      <c r="F149" s="209"/>
      <c r="G149" s="76"/>
      <c r="H149" s="54"/>
      <c r="I149" s="4"/>
      <c r="J149" s="4"/>
      <c r="K149" s="4"/>
    </row>
    <row r="150" spans="1:11" x14ac:dyDescent="0.2">
      <c r="A150" s="35"/>
      <c r="B150" s="32" t="s">
        <v>320</v>
      </c>
      <c r="C150" s="6"/>
      <c r="D150" s="6"/>
      <c r="E150" s="208"/>
      <c r="F150" s="209"/>
      <c r="G150" s="53">
        <v>750</v>
      </c>
      <c r="H150" s="57" t="s">
        <v>83</v>
      </c>
      <c r="I150" s="4"/>
      <c r="J150" s="4"/>
      <c r="K150" s="4"/>
    </row>
    <row r="151" spans="1:11" x14ac:dyDescent="0.2">
      <c r="A151" s="46"/>
      <c r="B151" s="33" t="s">
        <v>313</v>
      </c>
      <c r="C151" s="9"/>
      <c r="D151" s="9"/>
      <c r="E151" s="210"/>
      <c r="F151" s="211"/>
      <c r="G151" s="292">
        <f>+G150/'Beregninger med'!F169</f>
        <v>0.85084659235939752</v>
      </c>
      <c r="H151" s="83"/>
      <c r="I151" s="4"/>
      <c r="J151" s="4"/>
      <c r="K151" s="4"/>
    </row>
    <row r="152" spans="1:11" x14ac:dyDescent="0.2">
      <c r="A152" s="6"/>
      <c r="B152" s="4"/>
      <c r="C152" s="4"/>
      <c r="D152" s="4"/>
      <c r="I152" s="4"/>
      <c r="J152" s="4"/>
      <c r="K152" s="4"/>
    </row>
    <row r="153" spans="1:11" x14ac:dyDescent="0.2">
      <c r="A153" s="6"/>
      <c r="B153" s="4"/>
      <c r="C153" s="4"/>
      <c r="D153" s="4"/>
      <c r="I153" s="4"/>
      <c r="J153" s="4"/>
      <c r="K153" s="4"/>
    </row>
    <row r="154" spans="1:11" s="1" customFormat="1" ht="15" x14ac:dyDescent="0.2">
      <c r="A154" s="42" t="s">
        <v>96</v>
      </c>
      <c r="B154" s="27"/>
      <c r="C154" s="27"/>
      <c r="D154" s="27"/>
      <c r="E154" s="332" t="s">
        <v>9</v>
      </c>
      <c r="F154" s="333"/>
      <c r="G154" s="332" t="s">
        <v>10</v>
      </c>
      <c r="H154" s="333"/>
    </row>
    <row r="155" spans="1:11" s="1" customFormat="1" ht="15" x14ac:dyDescent="0.2">
      <c r="A155" s="43" t="s">
        <v>321</v>
      </c>
      <c r="B155" s="13"/>
      <c r="C155" s="13"/>
      <c r="D155" s="13"/>
      <c r="E155" s="82" t="s">
        <v>97</v>
      </c>
      <c r="F155" s="75" t="s">
        <v>122</v>
      </c>
      <c r="G155" s="82"/>
      <c r="H155" s="75"/>
    </row>
    <row r="156" spans="1:11" x14ac:dyDescent="0.2">
      <c r="A156" s="35"/>
      <c r="B156" s="32"/>
      <c r="C156" s="6"/>
      <c r="D156" s="6"/>
      <c r="E156" s="76"/>
      <c r="F156" s="54"/>
      <c r="G156" s="76"/>
      <c r="H156" s="79"/>
      <c r="I156" s="4"/>
      <c r="J156" s="4"/>
      <c r="K156" s="4"/>
    </row>
    <row r="157" spans="1:11" x14ac:dyDescent="0.2">
      <c r="A157" s="35"/>
      <c r="B157" s="32" t="s">
        <v>30</v>
      </c>
      <c r="C157" s="6"/>
      <c r="D157" s="6"/>
      <c r="E157" s="76">
        <v>750</v>
      </c>
      <c r="F157" s="54">
        <v>30</v>
      </c>
      <c r="G157" s="76">
        <v>750</v>
      </c>
      <c r="H157" s="54">
        <v>0</v>
      </c>
      <c r="I157" s="4"/>
      <c r="J157" s="4"/>
      <c r="K157" s="4"/>
    </row>
    <row r="158" spans="1:11" x14ac:dyDescent="0.2">
      <c r="A158" s="35"/>
      <c r="B158" s="32" t="s">
        <v>29</v>
      </c>
      <c r="C158" s="6"/>
      <c r="D158" s="6"/>
      <c r="E158" s="76">
        <v>900</v>
      </c>
      <c r="F158" s="54">
        <v>0</v>
      </c>
      <c r="G158" s="76">
        <v>900</v>
      </c>
      <c r="H158" s="54">
        <v>0</v>
      </c>
      <c r="I158" s="4"/>
      <c r="J158" s="4"/>
      <c r="K158" s="4"/>
    </row>
    <row r="159" spans="1:11" x14ac:dyDescent="0.2">
      <c r="A159" s="35"/>
      <c r="B159" s="32" t="s">
        <v>28</v>
      </c>
      <c r="C159" s="6"/>
      <c r="D159" s="6"/>
      <c r="E159" s="76">
        <v>20</v>
      </c>
      <c r="F159" s="54"/>
      <c r="G159" s="76">
        <v>20</v>
      </c>
      <c r="H159" s="54"/>
      <c r="I159" s="4"/>
      <c r="J159" s="4"/>
      <c r="K159" s="4"/>
    </row>
    <row r="160" spans="1:11" x14ac:dyDescent="0.2">
      <c r="A160" s="35"/>
      <c r="B160" s="32" t="s">
        <v>292</v>
      </c>
      <c r="C160" s="6"/>
      <c r="D160" s="6"/>
      <c r="E160" s="76">
        <v>12</v>
      </c>
      <c r="F160" s="54"/>
      <c r="G160" s="76">
        <v>12</v>
      </c>
      <c r="H160" s="54"/>
      <c r="I160" s="4"/>
      <c r="J160" s="4"/>
      <c r="K160" s="4"/>
    </row>
    <row r="161" spans="1:12" x14ac:dyDescent="0.2">
      <c r="A161" s="35"/>
      <c r="B161" s="32" t="s">
        <v>293</v>
      </c>
      <c r="C161" s="6"/>
      <c r="D161" s="6"/>
      <c r="E161" s="76">
        <v>25</v>
      </c>
      <c r="F161" s="54"/>
      <c r="G161" s="76">
        <v>25</v>
      </c>
      <c r="H161" s="54"/>
      <c r="I161" s="4"/>
      <c r="J161" s="4"/>
      <c r="K161" s="4"/>
    </row>
    <row r="162" spans="1:12" x14ac:dyDescent="0.2">
      <c r="A162" s="35"/>
      <c r="B162" s="32" t="s">
        <v>229</v>
      </c>
      <c r="C162" s="6"/>
      <c r="D162" s="6"/>
      <c r="E162" s="76">
        <v>20</v>
      </c>
      <c r="F162" s="54"/>
      <c r="G162" s="76">
        <v>20</v>
      </c>
      <c r="H162" s="54"/>
      <c r="I162" s="4"/>
      <c r="J162" s="4"/>
      <c r="K162" s="4"/>
    </row>
    <row r="163" spans="1:12" x14ac:dyDescent="0.2">
      <c r="A163" s="35"/>
      <c r="B163" s="32" t="s">
        <v>274</v>
      </c>
      <c r="C163" s="6"/>
      <c r="D163" s="6"/>
      <c r="E163" s="76">
        <v>0</v>
      </c>
      <c r="F163" s="54"/>
      <c r="G163" s="76">
        <v>0</v>
      </c>
      <c r="H163" s="54"/>
      <c r="I163" s="4"/>
      <c r="J163" s="4"/>
      <c r="K163" s="4"/>
    </row>
    <row r="164" spans="1:12" x14ac:dyDescent="0.2">
      <c r="A164" s="46"/>
      <c r="B164" s="33"/>
      <c r="C164" s="9"/>
      <c r="D164" s="9"/>
      <c r="E164" s="77"/>
      <c r="F164" s="55"/>
      <c r="G164" s="77"/>
      <c r="H164" s="83"/>
      <c r="I164" s="4"/>
      <c r="J164" s="4"/>
      <c r="K164" s="4"/>
    </row>
    <row r="165" spans="1:12" x14ac:dyDescent="0.2">
      <c r="A165" s="6"/>
      <c r="B165" s="4"/>
      <c r="C165" s="4"/>
      <c r="D165" s="4"/>
      <c r="I165" s="4"/>
      <c r="J165" s="4"/>
      <c r="K165" s="4"/>
    </row>
    <row r="166" spans="1:12" x14ac:dyDescent="0.2">
      <c r="A166" s="6"/>
      <c r="B166" s="4"/>
      <c r="C166" s="4"/>
      <c r="D166" s="4"/>
      <c r="I166" s="4"/>
      <c r="J166" s="4"/>
      <c r="K166" s="4"/>
    </row>
    <row r="167" spans="1:12" x14ac:dyDescent="0.2">
      <c r="A167" s="42" t="s">
        <v>268</v>
      </c>
      <c r="B167" s="27"/>
      <c r="C167" s="27"/>
      <c r="D167" s="27"/>
      <c r="E167" s="332"/>
      <c r="F167" s="334"/>
      <c r="G167" s="334" t="s">
        <v>10</v>
      </c>
      <c r="H167" s="333"/>
      <c r="I167" s="4"/>
      <c r="J167" s="4"/>
      <c r="K167" s="4"/>
      <c r="L167" s="4"/>
    </row>
    <row r="168" spans="1:12" x14ac:dyDescent="0.2">
      <c r="A168" s="43" t="s">
        <v>322</v>
      </c>
      <c r="B168" s="13"/>
      <c r="C168" s="13"/>
      <c r="D168" s="13"/>
      <c r="E168" s="82" t="s">
        <v>141</v>
      </c>
      <c r="F168" s="84" t="s">
        <v>2</v>
      </c>
      <c r="G168" s="84"/>
      <c r="H168" s="75"/>
      <c r="I168" s="4"/>
      <c r="J168" s="4"/>
      <c r="K168" s="4"/>
      <c r="L168" s="4"/>
    </row>
    <row r="169" spans="1:12" x14ac:dyDescent="0.2">
      <c r="A169" s="35"/>
      <c r="B169" s="32"/>
      <c r="C169" s="6"/>
      <c r="D169" s="6"/>
      <c r="E169" s="273"/>
      <c r="F169" s="274"/>
      <c r="G169" s="274"/>
      <c r="H169" s="88"/>
      <c r="I169" s="4"/>
      <c r="J169" s="4"/>
      <c r="K169" s="4"/>
      <c r="L169" s="4"/>
    </row>
    <row r="170" spans="1:12" x14ac:dyDescent="0.2">
      <c r="A170" s="35"/>
      <c r="B170" s="32" t="s">
        <v>142</v>
      </c>
      <c r="C170" s="6"/>
      <c r="D170" s="6"/>
      <c r="E170" s="275">
        <v>15</v>
      </c>
      <c r="F170" s="276">
        <v>1</v>
      </c>
      <c r="G170" s="276">
        <v>512526</v>
      </c>
      <c r="H170" s="57" t="s">
        <v>80</v>
      </c>
      <c r="I170" s="4"/>
      <c r="J170" s="4"/>
      <c r="K170" s="4"/>
      <c r="L170" s="4"/>
    </row>
    <row r="171" spans="1:12" x14ac:dyDescent="0.2">
      <c r="A171" s="35"/>
      <c r="B171" s="32" t="s">
        <v>143</v>
      </c>
      <c r="C171" s="6"/>
      <c r="D171" s="6"/>
      <c r="E171" s="275">
        <v>15</v>
      </c>
      <c r="F171" s="276">
        <v>1</v>
      </c>
      <c r="G171" s="276">
        <v>0</v>
      </c>
      <c r="H171" s="57" t="s">
        <v>80</v>
      </c>
      <c r="I171" s="4"/>
      <c r="J171" s="4"/>
      <c r="K171" s="4"/>
      <c r="L171" s="4"/>
    </row>
    <row r="172" spans="1:12" x14ac:dyDescent="0.2">
      <c r="A172" s="35"/>
      <c r="B172" s="32" t="s">
        <v>144</v>
      </c>
      <c r="C172" s="6"/>
      <c r="D172" s="6"/>
      <c r="E172" s="275">
        <v>10</v>
      </c>
      <c r="F172" s="276">
        <v>1</v>
      </c>
      <c r="G172" s="276">
        <v>0</v>
      </c>
      <c r="H172" s="57" t="s">
        <v>80</v>
      </c>
      <c r="I172" s="4"/>
      <c r="J172" s="4"/>
      <c r="K172" s="4"/>
      <c r="L172" s="4"/>
    </row>
    <row r="173" spans="1:12" x14ac:dyDescent="0.2">
      <c r="A173" s="35"/>
      <c r="B173" s="32" t="s">
        <v>244</v>
      </c>
      <c r="C173" s="6"/>
      <c r="D173" s="6"/>
      <c r="E173" s="275">
        <v>15</v>
      </c>
      <c r="F173" s="276">
        <v>1</v>
      </c>
      <c r="G173" s="276">
        <v>0</v>
      </c>
      <c r="H173" s="57" t="s">
        <v>80</v>
      </c>
      <c r="I173" s="4"/>
      <c r="J173" s="4"/>
      <c r="K173" s="4"/>
      <c r="L173" s="4"/>
    </row>
    <row r="174" spans="1:12" x14ac:dyDescent="0.2">
      <c r="A174" s="35"/>
      <c r="B174" s="294" t="s">
        <v>323</v>
      </c>
      <c r="C174" s="6"/>
      <c r="D174" s="6"/>
      <c r="E174" s="275">
        <v>15</v>
      </c>
      <c r="F174" s="276">
        <v>1</v>
      </c>
      <c r="G174" s="276">
        <v>-53869</v>
      </c>
      <c r="H174" s="57" t="s">
        <v>80</v>
      </c>
      <c r="I174" s="4"/>
      <c r="J174" s="4"/>
      <c r="K174" s="4"/>
      <c r="L174" s="4"/>
    </row>
    <row r="175" spans="1:12" x14ac:dyDescent="0.2">
      <c r="A175" s="46"/>
      <c r="B175" s="33"/>
      <c r="C175" s="9"/>
      <c r="D175" s="9"/>
      <c r="E175" s="277"/>
      <c r="F175" s="278"/>
      <c r="G175" s="278"/>
      <c r="H175" s="83"/>
      <c r="I175" s="4"/>
      <c r="J175" s="4"/>
      <c r="K175" s="4"/>
    </row>
    <row r="176" spans="1:12" x14ac:dyDescent="0.2">
      <c r="A176" s="6"/>
      <c r="B176" s="4"/>
      <c r="C176" s="4"/>
      <c r="D176" s="4"/>
      <c r="I176" s="4"/>
      <c r="J176" s="4"/>
      <c r="K176" s="4"/>
    </row>
    <row r="177" spans="1:11" x14ac:dyDescent="0.2">
      <c r="A177" s="6"/>
      <c r="B177" s="4"/>
      <c r="C177" s="4"/>
      <c r="D177" s="4"/>
      <c r="I177" s="4"/>
      <c r="J177" s="4"/>
      <c r="K177" s="4"/>
    </row>
    <row r="178" spans="1:11" s="1" customFormat="1" ht="15" x14ac:dyDescent="0.2">
      <c r="A178" s="42" t="s">
        <v>150</v>
      </c>
      <c r="B178" s="27"/>
      <c r="C178" s="27"/>
      <c r="D178" s="27"/>
      <c r="E178" s="332"/>
      <c r="F178" s="334"/>
      <c r="G178" s="334" t="s">
        <v>227</v>
      </c>
      <c r="H178" s="333"/>
    </row>
    <row r="179" spans="1:11" s="1" customFormat="1" ht="15" x14ac:dyDescent="0.2">
      <c r="A179" s="44"/>
      <c r="B179" s="13"/>
      <c r="C179" s="13"/>
      <c r="D179" s="13"/>
      <c r="E179" s="82"/>
      <c r="F179" s="84"/>
      <c r="G179" s="84"/>
      <c r="H179" s="75"/>
    </row>
    <row r="180" spans="1:11" x14ac:dyDescent="0.2">
      <c r="A180" s="35"/>
      <c r="B180" s="32"/>
      <c r="C180" s="6"/>
      <c r="D180" s="6"/>
      <c r="E180" s="76"/>
      <c r="F180" s="62"/>
      <c r="G180" s="63"/>
      <c r="H180" s="79"/>
      <c r="I180" s="4"/>
      <c r="J180" s="4"/>
      <c r="K180" s="4"/>
    </row>
    <row r="181" spans="1:11" x14ac:dyDescent="0.2">
      <c r="A181" s="46"/>
      <c r="B181" s="33" t="s">
        <v>151</v>
      </c>
      <c r="C181" s="9"/>
      <c r="D181" s="9"/>
      <c r="E181" s="77"/>
      <c r="F181" s="86"/>
      <c r="G181" s="258">
        <v>4.4999999999999998E-2</v>
      </c>
      <c r="H181" s="55"/>
      <c r="I181" s="4"/>
      <c r="J181" s="4"/>
      <c r="K181" s="4"/>
    </row>
    <row r="191" spans="1:11" x14ac:dyDescent="0.2">
      <c r="B191" s="70"/>
      <c r="C191" s="69"/>
      <c r="D191" s="69"/>
      <c r="E191" s="69"/>
    </row>
  </sheetData>
  <mergeCells count="28">
    <mergeCell ref="E167:F167"/>
    <mergeCell ref="G167:H167"/>
    <mergeCell ref="E57:F57"/>
    <mergeCell ref="G57:H57"/>
    <mergeCell ref="E178:F178"/>
    <mergeCell ref="G178:H178"/>
    <mergeCell ref="E118:F118"/>
    <mergeCell ref="G118:H118"/>
    <mergeCell ref="E154:F154"/>
    <mergeCell ref="G154:H154"/>
    <mergeCell ref="E134:F134"/>
    <mergeCell ref="G134:H134"/>
    <mergeCell ref="E77:F77"/>
    <mergeCell ref="G77:H77"/>
    <mergeCell ref="E99:F99"/>
    <mergeCell ref="G99:H99"/>
    <mergeCell ref="E8:F8"/>
    <mergeCell ref="G8:H8"/>
    <mergeCell ref="E32:F32"/>
    <mergeCell ref="G32:H32"/>
    <mergeCell ref="E44:F44"/>
    <mergeCell ref="G44:H44"/>
    <mergeCell ref="E144:F144"/>
    <mergeCell ref="G144:H144"/>
    <mergeCell ref="E125:F125"/>
    <mergeCell ref="G125:H125"/>
    <mergeCell ref="E20:F20"/>
    <mergeCell ref="G20:H20"/>
  </mergeCells>
  <phoneticPr fontId="8" type="noConversion"/>
  <printOptions horizontalCentered="1" headings="1"/>
  <pageMargins left="0.86614173228346458" right="0.31496062992125984" top="0.27559055118110237" bottom="0.47244094488188981" header="0" footer="0.27559055118110237"/>
  <pageSetup paperSize="9" scale="85" fitToHeight="0" orientation="portrait" r:id="rId1"/>
  <headerFooter alignWithMargins="0">
    <oddFooter>&amp;L&amp;8Udskrevet &amp;D;kl. &amp;T&amp;C&amp;10Side &amp;P af &amp;N&amp;R&amp;8&amp;F/&amp;A</oddFooter>
  </headerFooter>
  <rowBreaks count="2" manualBreakCount="2">
    <brk id="54" max="7" man="1"/>
    <brk id="9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showGridLines="0" zoomScaleNormal="100" zoomScaleSheetLayoutView="100" workbookViewId="0">
      <pane ySplit="5" topLeftCell="A6" activePane="bottomLeft" state="frozen"/>
      <selection activeCell="J59" sqref="J59"/>
      <selection pane="bottomLeft" activeCell="A6" sqref="A6"/>
    </sheetView>
  </sheetViews>
  <sheetFormatPr defaultColWidth="8" defaultRowHeight="12.75" x14ac:dyDescent="0.2"/>
  <cols>
    <col min="1" max="1" width="7.109375" style="3" customWidth="1"/>
    <col min="2" max="2" width="26.5546875" style="3" customWidth="1"/>
    <col min="3" max="4" width="9.6640625" style="3" customWidth="1"/>
    <col min="5" max="8" width="8" style="4" customWidth="1"/>
    <col min="9" max="9" width="6.44140625" style="3" customWidth="1"/>
    <col min="10" max="10" width="9.33203125" style="3" customWidth="1"/>
    <col min="11" max="11" width="7" style="3" customWidth="1"/>
    <col min="12" max="16384" width="8" style="3"/>
  </cols>
  <sheetData>
    <row r="1" spans="1:11" s="1" customFormat="1" ht="15" x14ac:dyDescent="0.2">
      <c r="A1" s="1" t="str">
        <f ca="1">CELL("filnavn",B1)</f>
        <v>C:\Users\SST\AppData\Local\Microsoft\Windows\Temporary Internet Files\Content.Outlook\2FA5JZUZ\[MBE Busines case - Niels Mikkelsen - ver A2.xlsx]Standard værdier</v>
      </c>
      <c r="E1" s="2"/>
      <c r="F1" s="2"/>
      <c r="G1" s="2"/>
      <c r="H1" s="2"/>
    </row>
    <row r="2" spans="1:11" s="1" customFormat="1" ht="46.5" customHeight="1" thickBot="1" x14ac:dyDescent="0.3">
      <c r="A2" s="5"/>
      <c r="B2" s="5"/>
      <c r="C2" s="5"/>
      <c r="D2" s="5"/>
      <c r="E2" s="2"/>
      <c r="G2" s="14"/>
      <c r="H2" s="15"/>
    </row>
    <row r="3" spans="1:11" s="1" customFormat="1" ht="20.25" x14ac:dyDescent="0.3">
      <c r="A3" s="16" t="s">
        <v>6</v>
      </c>
      <c r="B3" s="17"/>
      <c r="C3" s="17"/>
      <c r="D3" s="17"/>
      <c r="E3" s="18"/>
      <c r="F3" s="31"/>
      <c r="G3" s="19"/>
      <c r="H3" s="20"/>
    </row>
    <row r="4" spans="1:11" s="1" customFormat="1" ht="16.5" customHeight="1" x14ac:dyDescent="0.2">
      <c r="A4" s="34" t="s">
        <v>7</v>
      </c>
      <c r="B4" s="11"/>
      <c r="C4" s="11"/>
      <c r="D4" s="11"/>
      <c r="E4" s="12"/>
      <c r="F4" s="30" t="s">
        <v>0</v>
      </c>
      <c r="G4" s="8"/>
      <c r="H4" s="37">
        <f>+'Forudsætninger - bedrift'!H4</f>
        <v>41281</v>
      </c>
    </row>
    <row r="5" spans="1:11" s="1" customFormat="1" ht="16.5" thickBot="1" x14ac:dyDescent="0.3">
      <c r="A5" s="96" t="s">
        <v>94</v>
      </c>
      <c r="B5" s="89"/>
      <c r="C5" s="89"/>
      <c r="D5" s="89" t="str">
        <f>+'Forudsætninger - bedrift'!D5</f>
        <v>Niels Mikkelsen - Version A2</v>
      </c>
      <c r="E5" s="90"/>
      <c r="F5" s="90"/>
      <c r="G5" s="90"/>
      <c r="H5" s="91"/>
    </row>
    <row r="6" spans="1:11" s="1" customFormat="1" ht="15.75" x14ac:dyDescent="0.25">
      <c r="A6" s="10"/>
      <c r="B6" s="25"/>
      <c r="C6" s="25"/>
      <c r="D6" s="25"/>
      <c r="E6" s="26"/>
      <c r="F6" s="26"/>
      <c r="G6" s="26"/>
      <c r="H6" s="26"/>
    </row>
    <row r="7" spans="1:11" s="1" customFormat="1" ht="15.75" x14ac:dyDescent="0.25">
      <c r="A7" s="10"/>
      <c r="B7" s="25"/>
      <c r="C7" s="25"/>
      <c r="D7" s="25"/>
      <c r="E7" s="26"/>
      <c r="F7" s="26"/>
      <c r="G7" s="26"/>
      <c r="H7" s="26"/>
    </row>
    <row r="8" spans="1:11" x14ac:dyDescent="0.2">
      <c r="A8" s="42" t="s">
        <v>104</v>
      </c>
      <c r="B8" s="27"/>
      <c r="C8" s="27"/>
      <c r="D8" s="27"/>
      <c r="E8" s="332"/>
      <c r="F8" s="334"/>
      <c r="G8" s="334"/>
      <c r="H8" s="333"/>
      <c r="I8" s="4"/>
      <c r="J8" s="4"/>
      <c r="K8" s="4"/>
    </row>
    <row r="9" spans="1:11" ht="25.5" x14ac:dyDescent="0.2">
      <c r="A9" s="43" t="s">
        <v>325</v>
      </c>
      <c r="B9" s="269"/>
      <c r="C9" s="13"/>
      <c r="D9" s="13"/>
      <c r="E9" s="82" t="s">
        <v>56</v>
      </c>
      <c r="F9" s="84" t="s">
        <v>55</v>
      </c>
      <c r="G9" s="84" t="s">
        <v>230</v>
      </c>
      <c r="H9" s="75"/>
      <c r="I9" s="4"/>
      <c r="J9" s="4" t="str">
        <f>'Forudsætninger - bedrift'!E100</f>
        <v>Aktuel TS - i %</v>
      </c>
      <c r="K9" s="4"/>
    </row>
    <row r="10" spans="1:11" x14ac:dyDescent="0.2">
      <c r="A10" s="35"/>
      <c r="B10" s="32"/>
      <c r="C10" s="6"/>
      <c r="D10" s="6"/>
      <c r="E10" s="102"/>
      <c r="F10" s="103"/>
      <c r="G10" s="103"/>
      <c r="H10" s="104"/>
      <c r="I10" s="4"/>
      <c r="J10" s="4"/>
      <c r="K10" s="4"/>
    </row>
    <row r="11" spans="1:11" x14ac:dyDescent="0.2">
      <c r="A11" s="35"/>
      <c r="B11" s="32" t="s">
        <v>4</v>
      </c>
      <c r="C11" s="6"/>
      <c r="D11" s="6"/>
      <c r="E11" s="101">
        <v>18.5</v>
      </c>
      <c r="F11" s="105">
        <v>9.3000000000000007</v>
      </c>
      <c r="G11" s="105">
        <v>9.3000000000000007</v>
      </c>
      <c r="H11" s="109"/>
      <c r="I11" s="4"/>
      <c r="J11" s="302">
        <f>'Forudsætninger - bedrift'!E102</f>
        <v>9.3000000000000007</v>
      </c>
      <c r="K11" s="302"/>
    </row>
    <row r="12" spans="1:11" x14ac:dyDescent="0.2">
      <c r="A12" s="35"/>
      <c r="B12" s="32" t="s">
        <v>12</v>
      </c>
      <c r="C12" s="6"/>
      <c r="D12" s="6"/>
      <c r="E12" s="101">
        <v>11.8</v>
      </c>
      <c r="F12" s="105">
        <v>9.3000000000000007</v>
      </c>
      <c r="G12" s="105">
        <v>9.3000000000000007</v>
      </c>
      <c r="H12" s="109"/>
      <c r="I12" s="4"/>
      <c r="J12" s="302">
        <f>'Forudsætninger - bedrift'!E103</f>
        <v>9.3000000000000007</v>
      </c>
      <c r="K12" s="302"/>
    </row>
    <row r="13" spans="1:11" x14ac:dyDescent="0.2">
      <c r="A13" s="35"/>
      <c r="B13" s="32" t="s">
        <v>5</v>
      </c>
      <c r="C13" s="6"/>
      <c r="D13" s="6"/>
      <c r="E13" s="101">
        <v>24.6</v>
      </c>
      <c r="F13" s="105">
        <v>4.5</v>
      </c>
      <c r="G13" s="105">
        <v>4.8</v>
      </c>
      <c r="H13" s="109"/>
      <c r="I13" s="4"/>
      <c r="J13" s="302">
        <f>'Forudsætninger - bedrift'!E104</f>
        <v>4.5</v>
      </c>
      <c r="K13" s="302"/>
    </row>
    <row r="14" spans="1:11" x14ac:dyDescent="0.2">
      <c r="A14" s="35"/>
      <c r="B14" s="32" t="s">
        <v>13</v>
      </c>
      <c r="C14" s="6"/>
      <c r="D14" s="6"/>
      <c r="E14" s="101">
        <v>26.2</v>
      </c>
      <c r="F14" s="105">
        <v>4.5999999999999996</v>
      </c>
      <c r="G14" s="105">
        <v>4.8</v>
      </c>
      <c r="H14" s="109"/>
      <c r="I14" s="4"/>
      <c r="J14" s="302">
        <f>'Forudsætninger - bedrift'!E105</f>
        <v>4.5999999999999996</v>
      </c>
      <c r="K14" s="302"/>
    </row>
    <row r="15" spans="1:11" x14ac:dyDescent="0.2">
      <c r="A15" s="35"/>
      <c r="B15" s="32" t="s">
        <v>50</v>
      </c>
      <c r="C15" s="6"/>
      <c r="D15" s="6"/>
      <c r="E15" s="101">
        <v>18.399999999999999</v>
      </c>
      <c r="F15" s="105">
        <v>6.8</v>
      </c>
      <c r="G15" s="105">
        <v>6.8</v>
      </c>
      <c r="H15" s="109"/>
      <c r="I15" s="4"/>
      <c r="J15" s="302">
        <f>'Forudsætninger - bedrift'!E106</f>
        <v>5.61</v>
      </c>
      <c r="K15" s="302"/>
    </row>
    <row r="16" spans="1:11" x14ac:dyDescent="0.2">
      <c r="A16" s="35"/>
      <c r="B16" s="32" t="s">
        <v>3</v>
      </c>
      <c r="C16" s="6"/>
      <c r="D16" s="6"/>
      <c r="E16" s="101">
        <v>21.1</v>
      </c>
      <c r="F16" s="105">
        <v>4.9000000000000004</v>
      </c>
      <c r="G16" s="105">
        <v>4.9000000000000004</v>
      </c>
      <c r="H16" s="109"/>
      <c r="I16" s="4"/>
      <c r="J16" s="302">
        <f>'Forudsætninger - bedrift'!E107</f>
        <v>0.1</v>
      </c>
      <c r="K16" s="302"/>
    </row>
    <row r="17" spans="1:11" x14ac:dyDescent="0.2">
      <c r="A17" s="35"/>
      <c r="B17" s="32"/>
      <c r="C17" s="6"/>
      <c r="D17" s="6"/>
      <c r="E17" s="101"/>
      <c r="F17" s="105"/>
      <c r="G17" s="105"/>
      <c r="H17" s="109"/>
      <c r="I17" s="4"/>
      <c r="J17" s="302"/>
      <c r="K17" s="302"/>
    </row>
    <row r="18" spans="1:11" x14ac:dyDescent="0.2">
      <c r="A18" s="35"/>
      <c r="B18" s="32" t="s">
        <v>286</v>
      </c>
      <c r="C18" s="6"/>
      <c r="D18" s="6"/>
      <c r="E18" s="287">
        <v>11.69</v>
      </c>
      <c r="F18" s="105">
        <v>20</v>
      </c>
      <c r="G18" s="105">
        <v>20</v>
      </c>
      <c r="H18" s="109"/>
      <c r="I18" s="4"/>
      <c r="J18" s="302">
        <f>'Forudsætninger - bedrift'!E109</f>
        <v>20</v>
      </c>
      <c r="K18" s="302"/>
    </row>
    <row r="19" spans="1:11" x14ac:dyDescent="0.2">
      <c r="A19" s="35"/>
      <c r="B19" s="32" t="s">
        <v>285</v>
      </c>
      <c r="C19" s="6"/>
      <c r="D19" s="6"/>
      <c r="E19" s="287">
        <v>9.1199999999999992</v>
      </c>
      <c r="F19" s="105">
        <v>30</v>
      </c>
      <c r="G19" s="105">
        <v>30</v>
      </c>
      <c r="H19" s="109"/>
      <c r="I19" s="4"/>
      <c r="J19" s="302">
        <f>'Forudsætninger - bedrift'!E110</f>
        <v>25</v>
      </c>
      <c r="K19" s="302"/>
    </row>
    <row r="20" spans="1:11" x14ac:dyDescent="0.2">
      <c r="A20" s="35"/>
      <c r="B20" s="32" t="s">
        <v>287</v>
      </c>
      <c r="C20" s="6"/>
      <c r="D20" s="6"/>
      <c r="E20" s="287">
        <v>6.12</v>
      </c>
      <c r="F20" s="105">
        <v>30</v>
      </c>
      <c r="G20" s="105">
        <v>30</v>
      </c>
      <c r="H20" s="109"/>
      <c r="I20" s="4"/>
      <c r="J20" s="302">
        <f>'Forudsætninger - bedrift'!E111</f>
        <v>30</v>
      </c>
      <c r="K20" s="302"/>
    </row>
    <row r="21" spans="1:11" x14ac:dyDescent="0.2">
      <c r="A21" s="35"/>
      <c r="B21" s="32" t="s">
        <v>288</v>
      </c>
      <c r="C21" s="6"/>
      <c r="D21" s="6"/>
      <c r="E21" s="287">
        <v>10.88</v>
      </c>
      <c r="F21" s="105">
        <v>12</v>
      </c>
      <c r="G21" s="105">
        <v>12</v>
      </c>
      <c r="H21" s="109"/>
      <c r="I21" s="4"/>
      <c r="J21" s="302">
        <f>'Forudsætninger - bedrift'!E112</f>
        <v>12</v>
      </c>
      <c r="K21" s="302"/>
    </row>
    <row r="22" spans="1:11" x14ac:dyDescent="0.2">
      <c r="A22" s="35"/>
      <c r="B22" s="32" t="s">
        <v>289</v>
      </c>
      <c r="C22" s="6"/>
      <c r="D22" s="6"/>
      <c r="E22" s="287">
        <v>4.4660000000000002</v>
      </c>
      <c r="F22" s="105">
        <v>48</v>
      </c>
      <c r="G22" s="105">
        <v>48</v>
      </c>
      <c r="H22" s="109"/>
      <c r="I22" s="4"/>
      <c r="J22" s="302">
        <f>'Forudsætninger - bedrift'!E113</f>
        <v>48</v>
      </c>
      <c r="K22" s="302"/>
    </row>
    <row r="23" spans="1:11" x14ac:dyDescent="0.2">
      <c r="A23" s="35"/>
      <c r="B23" s="32" t="s">
        <v>290</v>
      </c>
      <c r="C23" s="6"/>
      <c r="D23" s="6"/>
      <c r="E23" s="287">
        <v>4.68</v>
      </c>
      <c r="F23" s="105">
        <v>40</v>
      </c>
      <c r="G23" s="105">
        <v>40</v>
      </c>
      <c r="H23" s="109"/>
      <c r="I23" s="4"/>
      <c r="J23" s="302">
        <f>'Forudsætninger - bedrift'!E114</f>
        <v>40</v>
      </c>
      <c r="K23" s="302"/>
    </row>
    <row r="24" spans="1:11" x14ac:dyDescent="0.2">
      <c r="A24" s="46"/>
      <c r="B24" s="33" t="s">
        <v>291</v>
      </c>
      <c r="C24" s="9"/>
      <c r="D24" s="9"/>
      <c r="E24" s="288">
        <v>11.798999999999999</v>
      </c>
      <c r="F24" s="106">
        <v>26</v>
      </c>
      <c r="G24" s="106">
        <v>26</v>
      </c>
      <c r="H24" s="110"/>
      <c r="I24" s="4"/>
      <c r="J24" s="302">
        <f>'Forudsætninger - bedrift'!E115</f>
        <v>26</v>
      </c>
      <c r="K24" s="302"/>
    </row>
    <row r="25" spans="1:11" x14ac:dyDescent="0.2">
      <c r="A25" s="6"/>
      <c r="B25" s="4"/>
      <c r="C25" s="4"/>
      <c r="D25" s="4"/>
      <c r="I25" s="4"/>
    </row>
    <row r="26" spans="1:11" x14ac:dyDescent="0.2">
      <c r="A26" s="6"/>
      <c r="B26" s="4"/>
      <c r="C26" s="4"/>
      <c r="D26" s="4"/>
      <c r="I26" s="4"/>
    </row>
    <row r="27" spans="1:11" x14ac:dyDescent="0.2">
      <c r="A27" s="42" t="s">
        <v>103</v>
      </c>
      <c r="B27" s="27"/>
      <c r="C27" s="27"/>
      <c r="D27" s="27"/>
      <c r="E27" s="332" t="s">
        <v>57</v>
      </c>
      <c r="F27" s="334"/>
      <c r="G27" s="334"/>
      <c r="H27" s="333"/>
      <c r="I27" s="4"/>
      <c r="J27" s="4"/>
      <c r="K27" s="4"/>
    </row>
    <row r="28" spans="1:11" x14ac:dyDescent="0.2">
      <c r="A28" s="43" t="s">
        <v>326</v>
      </c>
      <c r="B28" s="13"/>
      <c r="C28" s="13"/>
      <c r="D28" s="13"/>
      <c r="E28" s="82" t="s">
        <v>54</v>
      </c>
      <c r="F28" s="84" t="s">
        <v>53</v>
      </c>
      <c r="G28" s="84" t="s">
        <v>41</v>
      </c>
      <c r="H28" s="75" t="s">
        <v>40</v>
      </c>
      <c r="I28" s="4"/>
      <c r="J28" s="4"/>
      <c r="K28" s="4"/>
    </row>
    <row r="29" spans="1:11" x14ac:dyDescent="0.2">
      <c r="A29" s="35"/>
      <c r="B29" s="32"/>
      <c r="C29" s="6"/>
      <c r="D29" s="6"/>
      <c r="E29" s="111"/>
      <c r="F29" s="112"/>
      <c r="G29" s="112"/>
      <c r="H29" s="113"/>
      <c r="I29" s="4"/>
      <c r="J29" s="4"/>
      <c r="K29" s="4"/>
    </row>
    <row r="30" spans="1:11" x14ac:dyDescent="0.2">
      <c r="A30" s="35"/>
      <c r="B30" s="32" t="s">
        <v>4</v>
      </c>
      <c r="C30" s="6"/>
      <c r="D30" s="6"/>
      <c r="E30" s="114">
        <v>5.38</v>
      </c>
      <c r="F30" s="115">
        <v>2.27</v>
      </c>
      <c r="G30" s="115">
        <v>0.83</v>
      </c>
      <c r="H30" s="116">
        <v>4.22</v>
      </c>
      <c r="I30" s="4"/>
      <c r="J30" s="4"/>
      <c r="K30" s="4"/>
    </row>
    <row r="31" spans="1:11" x14ac:dyDescent="0.2">
      <c r="A31" s="35"/>
      <c r="B31" s="32" t="s">
        <v>12</v>
      </c>
      <c r="C31" s="6"/>
      <c r="D31" s="6"/>
      <c r="E31" s="117">
        <v>7.52</v>
      </c>
      <c r="F31" s="118">
        <v>4.6500000000000004</v>
      </c>
      <c r="G31" s="118">
        <v>1.3</v>
      </c>
      <c r="H31" s="119">
        <v>4.45</v>
      </c>
      <c r="I31" s="4"/>
      <c r="J31" s="4"/>
      <c r="K31" s="4"/>
    </row>
    <row r="32" spans="1:11" x14ac:dyDescent="0.2">
      <c r="A32" s="35"/>
      <c r="B32" s="32" t="s">
        <v>5</v>
      </c>
      <c r="C32" s="6"/>
      <c r="D32" s="6"/>
      <c r="E32" s="114">
        <v>3.88</v>
      </c>
      <c r="F32" s="115">
        <v>2.76</v>
      </c>
      <c r="G32" s="115">
        <v>0.96</v>
      </c>
      <c r="H32" s="116">
        <v>1.74</v>
      </c>
      <c r="I32" s="4"/>
      <c r="J32" s="4"/>
      <c r="K32" s="4"/>
    </row>
    <row r="33" spans="1:11" x14ac:dyDescent="0.2">
      <c r="A33" s="35"/>
      <c r="B33" s="32" t="s">
        <v>13</v>
      </c>
      <c r="C33" s="6"/>
      <c r="D33" s="6"/>
      <c r="E33" s="114">
        <v>3.14</v>
      </c>
      <c r="F33" s="115">
        <v>1.63</v>
      </c>
      <c r="G33" s="115">
        <v>1.02</v>
      </c>
      <c r="H33" s="116">
        <v>2.14</v>
      </c>
      <c r="I33" s="4"/>
      <c r="J33" s="4"/>
      <c r="K33" s="4"/>
    </row>
    <row r="34" spans="1:11" x14ac:dyDescent="0.2">
      <c r="A34" s="35"/>
      <c r="B34" s="32" t="s">
        <v>50</v>
      </c>
      <c r="C34" s="6"/>
      <c r="D34" s="6"/>
      <c r="E34" s="114">
        <v>5.34</v>
      </c>
      <c r="F34" s="115">
        <v>3.33</v>
      </c>
      <c r="G34" s="115">
        <v>1.19</v>
      </c>
      <c r="H34" s="116">
        <v>2.79</v>
      </c>
      <c r="I34" s="4"/>
      <c r="J34" s="4"/>
      <c r="K34" s="4"/>
    </row>
    <row r="35" spans="1:11" x14ac:dyDescent="0.2">
      <c r="A35" s="35"/>
      <c r="B35" s="32" t="s">
        <v>3</v>
      </c>
      <c r="C35" s="6"/>
      <c r="D35" s="6"/>
      <c r="E35" s="114">
        <v>6.03</v>
      </c>
      <c r="F35" s="115">
        <v>3.61</v>
      </c>
      <c r="G35" s="115">
        <v>1.51</v>
      </c>
      <c r="H35" s="116">
        <v>0.94</v>
      </c>
      <c r="I35" s="4"/>
      <c r="J35" s="4"/>
      <c r="K35" s="4"/>
    </row>
    <row r="36" spans="1:11" x14ac:dyDescent="0.2">
      <c r="A36" s="35"/>
      <c r="B36" s="32"/>
      <c r="C36" s="6"/>
      <c r="D36" s="6"/>
      <c r="E36" s="114"/>
      <c r="F36" s="115"/>
      <c r="G36" s="115"/>
      <c r="H36" s="116"/>
      <c r="I36" s="4"/>
      <c r="J36" s="4"/>
      <c r="K36" s="4"/>
    </row>
    <row r="37" spans="1:11" x14ac:dyDescent="0.2">
      <c r="A37" s="35"/>
      <c r="B37" s="32" t="s">
        <v>286</v>
      </c>
      <c r="C37" s="6"/>
      <c r="D37" s="6"/>
      <c r="E37" s="114">
        <v>9.4499999999999993</v>
      </c>
      <c r="F37" s="115">
        <v>1.89</v>
      </c>
      <c r="G37" s="115">
        <v>1.46</v>
      </c>
      <c r="H37" s="116">
        <v>10.07</v>
      </c>
      <c r="I37" s="4"/>
      <c r="J37" s="4"/>
      <c r="K37" s="4"/>
    </row>
    <row r="38" spans="1:11" x14ac:dyDescent="0.2">
      <c r="A38" s="35"/>
      <c r="B38" s="32" t="s">
        <v>285</v>
      </c>
      <c r="C38" s="6"/>
      <c r="D38" s="6"/>
      <c r="E38" s="114">
        <v>12.66</v>
      </c>
      <c r="F38" s="115">
        <v>2.5299999999999998</v>
      </c>
      <c r="G38" s="115">
        <v>1.36</v>
      </c>
      <c r="H38" s="116">
        <v>15.9</v>
      </c>
      <c r="I38" s="4"/>
      <c r="J38" s="4"/>
      <c r="K38" s="4"/>
    </row>
    <row r="39" spans="1:11" x14ac:dyDescent="0.2">
      <c r="A39" s="35"/>
      <c r="B39" s="32" t="s">
        <v>287</v>
      </c>
      <c r="C39" s="6"/>
      <c r="D39" s="6"/>
      <c r="E39" s="114">
        <v>11.16</v>
      </c>
      <c r="F39" s="115">
        <v>2.79</v>
      </c>
      <c r="G39" s="115">
        <v>3.55</v>
      </c>
      <c r="H39" s="116">
        <v>12.88</v>
      </c>
      <c r="I39" s="4"/>
      <c r="J39" s="4"/>
      <c r="K39" s="4"/>
    </row>
    <row r="40" spans="1:11" x14ac:dyDescent="0.2">
      <c r="A40" s="35"/>
      <c r="B40" s="32" t="s">
        <v>288</v>
      </c>
      <c r="C40" s="6"/>
      <c r="D40" s="6"/>
      <c r="E40" s="114">
        <v>9.09</v>
      </c>
      <c r="F40" s="115">
        <v>4.38</v>
      </c>
      <c r="G40" s="115">
        <v>2.95</v>
      </c>
      <c r="H40" s="116">
        <v>1.83</v>
      </c>
      <c r="I40" s="4"/>
      <c r="J40" s="4"/>
      <c r="K40" s="4"/>
    </row>
    <row r="41" spans="1:11" x14ac:dyDescent="0.2">
      <c r="A41" s="35"/>
      <c r="B41" s="32" t="s">
        <v>289</v>
      </c>
      <c r="C41" s="6"/>
      <c r="D41" s="6"/>
      <c r="E41" s="114">
        <v>21.86</v>
      </c>
      <c r="F41" s="115">
        <v>6.56</v>
      </c>
      <c r="G41" s="115">
        <v>8</v>
      </c>
      <c r="H41" s="116">
        <v>14.39</v>
      </c>
      <c r="I41" s="4"/>
      <c r="J41" s="4"/>
      <c r="K41" s="4"/>
    </row>
    <row r="42" spans="1:11" x14ac:dyDescent="0.2">
      <c r="A42" s="35"/>
      <c r="B42" s="32" t="s">
        <v>290</v>
      </c>
      <c r="C42" s="6"/>
      <c r="D42" s="6"/>
      <c r="E42" s="114">
        <v>18.440000000000001</v>
      </c>
      <c r="F42" s="115">
        <v>6.45</v>
      </c>
      <c r="G42" s="115">
        <v>5.58</v>
      </c>
      <c r="H42" s="116">
        <v>9.15</v>
      </c>
      <c r="I42" s="4"/>
      <c r="J42" s="4"/>
      <c r="K42" s="4"/>
    </row>
    <row r="43" spans="1:11" x14ac:dyDescent="0.2">
      <c r="A43" s="46"/>
      <c r="B43" s="33" t="s">
        <v>291</v>
      </c>
      <c r="C43" s="9"/>
      <c r="D43" s="9"/>
      <c r="E43" s="120">
        <v>8.52</v>
      </c>
      <c r="F43" s="121">
        <v>2.13</v>
      </c>
      <c r="G43" s="121">
        <v>1.76</v>
      </c>
      <c r="H43" s="122">
        <v>13.42</v>
      </c>
      <c r="I43" s="4"/>
      <c r="J43" s="4"/>
      <c r="K43" s="4"/>
    </row>
    <row r="44" spans="1:11" x14ac:dyDescent="0.2">
      <c r="A44" s="32"/>
      <c r="B44" s="32"/>
      <c r="C44" s="6"/>
      <c r="D44" s="6"/>
      <c r="E44" s="115"/>
      <c r="F44" s="115"/>
      <c r="G44" s="115"/>
      <c r="H44" s="115"/>
      <c r="I44" s="4"/>
      <c r="J44" s="4"/>
      <c r="K44" s="4"/>
    </row>
    <row r="45" spans="1:11" x14ac:dyDescent="0.2">
      <c r="A45" s="6"/>
      <c r="B45" s="4"/>
      <c r="C45" s="4"/>
      <c r="D45" s="4"/>
      <c r="I45" s="4"/>
      <c r="J45" s="4"/>
      <c r="K45" s="4"/>
    </row>
    <row r="46" spans="1:11" x14ac:dyDescent="0.2">
      <c r="A46" s="42" t="s">
        <v>215</v>
      </c>
      <c r="B46" s="27"/>
      <c r="C46" s="27"/>
      <c r="D46" s="27"/>
      <c r="E46" s="332"/>
      <c r="F46" s="334"/>
      <c r="G46" s="334"/>
      <c r="H46" s="333"/>
      <c r="I46" s="4"/>
      <c r="J46" s="4"/>
      <c r="K46" s="4"/>
    </row>
    <row r="47" spans="1:11" x14ac:dyDescent="0.2">
      <c r="A47" s="44"/>
      <c r="B47" s="13"/>
      <c r="C47" s="13"/>
      <c r="D47" s="13"/>
      <c r="E47" s="82" t="s">
        <v>54</v>
      </c>
      <c r="F47" s="84" t="s">
        <v>53</v>
      </c>
      <c r="G47" s="84" t="s">
        <v>41</v>
      </c>
      <c r="H47" s="75" t="s">
        <v>40</v>
      </c>
      <c r="I47" s="4"/>
      <c r="J47" s="4"/>
      <c r="K47" s="4"/>
    </row>
    <row r="48" spans="1:11" x14ac:dyDescent="0.2">
      <c r="A48" s="35"/>
      <c r="B48" s="32"/>
      <c r="C48" s="6"/>
      <c r="D48" s="6"/>
      <c r="E48" s="111"/>
      <c r="F48" s="112"/>
      <c r="G48" s="123"/>
      <c r="H48" s="124"/>
      <c r="I48" s="4"/>
      <c r="J48" s="4"/>
      <c r="K48" s="4"/>
    </row>
    <row r="49" spans="1:13" x14ac:dyDescent="0.2">
      <c r="A49" s="35"/>
      <c r="B49" s="32" t="s">
        <v>4</v>
      </c>
      <c r="C49" s="6"/>
      <c r="D49" s="6"/>
      <c r="E49" s="114"/>
      <c r="F49" s="115"/>
      <c r="G49" s="125">
        <v>0.7</v>
      </c>
      <c r="H49" s="126">
        <v>0.8</v>
      </c>
      <c r="I49" s="4"/>
      <c r="J49" s="4"/>
      <c r="K49" s="4"/>
      <c r="L49" s="4"/>
      <c r="M49" s="4"/>
    </row>
    <row r="50" spans="1:13" x14ac:dyDescent="0.2">
      <c r="A50" s="35"/>
      <c r="B50" s="32" t="s">
        <v>12</v>
      </c>
      <c r="C50" s="6"/>
      <c r="D50" s="6"/>
      <c r="E50" s="117"/>
      <c r="F50" s="118"/>
      <c r="G50" s="125">
        <v>0.7</v>
      </c>
      <c r="H50" s="126">
        <v>0.8</v>
      </c>
      <c r="I50" s="4"/>
      <c r="J50" s="4"/>
      <c r="K50" s="4"/>
      <c r="L50" s="4"/>
      <c r="M50" s="4"/>
    </row>
    <row r="51" spans="1:13" x14ac:dyDescent="0.2">
      <c r="A51" s="35"/>
      <c r="B51" s="32" t="s">
        <v>5</v>
      </c>
      <c r="C51" s="6"/>
      <c r="D51" s="6"/>
      <c r="E51" s="114"/>
      <c r="F51" s="115"/>
      <c r="G51" s="125">
        <v>0.7</v>
      </c>
      <c r="H51" s="126">
        <v>0.8</v>
      </c>
      <c r="I51" s="4"/>
      <c r="J51" s="4"/>
      <c r="K51" s="4"/>
      <c r="L51" s="4"/>
      <c r="M51" s="4"/>
    </row>
    <row r="52" spans="1:13" x14ac:dyDescent="0.2">
      <c r="A52" s="35"/>
      <c r="B52" s="32" t="s">
        <v>13</v>
      </c>
      <c r="C52" s="6"/>
      <c r="D52" s="6"/>
      <c r="E52" s="114"/>
      <c r="F52" s="115"/>
      <c r="G52" s="125">
        <v>0.7</v>
      </c>
      <c r="H52" s="126">
        <v>0.8</v>
      </c>
      <c r="I52" s="4"/>
      <c r="J52" s="4"/>
      <c r="K52" s="4"/>
      <c r="L52" s="4"/>
      <c r="M52" s="4"/>
    </row>
    <row r="53" spans="1:13" x14ac:dyDescent="0.2">
      <c r="A53" s="35"/>
      <c r="B53" s="32" t="s">
        <v>50</v>
      </c>
      <c r="C53" s="6"/>
      <c r="D53" s="6"/>
      <c r="E53" s="114"/>
      <c r="F53" s="115"/>
      <c r="G53" s="125">
        <v>0.7</v>
      </c>
      <c r="H53" s="126">
        <v>0.8</v>
      </c>
      <c r="I53" s="4"/>
      <c r="J53" s="4"/>
      <c r="K53" s="4"/>
      <c r="L53" s="4"/>
      <c r="M53" s="4"/>
    </row>
    <row r="54" spans="1:13" x14ac:dyDescent="0.2">
      <c r="A54" s="35"/>
      <c r="B54" s="32" t="s">
        <v>3</v>
      </c>
      <c r="C54" s="6"/>
      <c r="D54" s="6"/>
      <c r="E54" s="114"/>
      <c r="F54" s="115"/>
      <c r="G54" s="125">
        <v>0.7</v>
      </c>
      <c r="H54" s="126">
        <v>0.8</v>
      </c>
      <c r="I54" s="4"/>
      <c r="J54" s="4"/>
      <c r="K54" s="4"/>
      <c r="L54" s="4"/>
      <c r="M54" s="4"/>
    </row>
    <row r="55" spans="1:13" x14ac:dyDescent="0.2">
      <c r="A55" s="35"/>
      <c r="B55" s="32"/>
      <c r="C55" s="6"/>
      <c r="D55" s="6"/>
      <c r="E55" s="114"/>
      <c r="F55" s="115"/>
      <c r="G55" s="125"/>
      <c r="H55" s="126"/>
      <c r="I55" s="4"/>
      <c r="J55" s="4"/>
      <c r="K55" s="4"/>
      <c r="L55" s="4"/>
      <c r="M55" s="4"/>
    </row>
    <row r="56" spans="1:13" x14ac:dyDescent="0.2">
      <c r="A56" s="35"/>
      <c r="B56" s="32" t="s">
        <v>286</v>
      </c>
      <c r="C56" s="6"/>
      <c r="D56" s="6"/>
      <c r="E56" s="114"/>
      <c r="F56" s="115"/>
      <c r="G56" s="125">
        <v>0.7</v>
      </c>
      <c r="H56" s="126">
        <v>0.8</v>
      </c>
      <c r="I56" s="4"/>
      <c r="J56" s="4"/>
      <c r="K56" s="4"/>
      <c r="L56" s="4"/>
      <c r="M56" s="4"/>
    </row>
    <row r="57" spans="1:13" x14ac:dyDescent="0.2">
      <c r="A57" s="35"/>
      <c r="B57" s="32" t="s">
        <v>285</v>
      </c>
      <c r="C57" s="6"/>
      <c r="D57" s="6"/>
      <c r="E57" s="114"/>
      <c r="F57" s="115"/>
      <c r="G57" s="125">
        <v>0.7</v>
      </c>
      <c r="H57" s="126">
        <v>0.8</v>
      </c>
      <c r="I57" s="4"/>
      <c r="J57" s="4"/>
      <c r="K57" s="4"/>
      <c r="L57" s="4"/>
      <c r="M57" s="4"/>
    </row>
    <row r="58" spans="1:13" x14ac:dyDescent="0.2">
      <c r="A58" s="35"/>
      <c r="B58" s="32" t="s">
        <v>287</v>
      </c>
      <c r="C58" s="6"/>
      <c r="D58" s="6"/>
      <c r="E58" s="114"/>
      <c r="F58" s="115"/>
      <c r="G58" s="125">
        <v>0.7</v>
      </c>
      <c r="H58" s="126">
        <v>0.8</v>
      </c>
      <c r="I58" s="4"/>
      <c r="J58" s="4"/>
      <c r="K58" s="4"/>
      <c r="L58" s="4"/>
      <c r="M58" s="4"/>
    </row>
    <row r="59" spans="1:13" x14ac:dyDescent="0.2">
      <c r="A59" s="35"/>
      <c r="B59" s="32" t="s">
        <v>288</v>
      </c>
      <c r="C59" s="6"/>
      <c r="D59" s="6"/>
      <c r="E59" s="114"/>
      <c r="F59" s="115"/>
      <c r="G59" s="125">
        <v>0.7</v>
      </c>
      <c r="H59" s="126">
        <v>0.8</v>
      </c>
      <c r="I59" s="4"/>
      <c r="J59" s="4"/>
      <c r="K59" s="4"/>
      <c r="L59" s="4"/>
      <c r="M59" s="4"/>
    </row>
    <row r="60" spans="1:13" x14ac:dyDescent="0.2">
      <c r="A60" s="35"/>
      <c r="B60" s="32" t="s">
        <v>289</v>
      </c>
      <c r="C60" s="6"/>
      <c r="D60" s="6"/>
      <c r="E60" s="114"/>
      <c r="F60" s="115"/>
      <c r="G60" s="125">
        <v>0.7</v>
      </c>
      <c r="H60" s="126">
        <v>0.8</v>
      </c>
      <c r="I60" s="4"/>
      <c r="J60" s="4"/>
      <c r="K60" s="4"/>
      <c r="L60" s="4"/>
      <c r="M60" s="4"/>
    </row>
    <row r="61" spans="1:13" x14ac:dyDescent="0.2">
      <c r="A61" s="35"/>
      <c r="B61" s="32" t="s">
        <v>290</v>
      </c>
      <c r="C61" s="6"/>
      <c r="D61" s="6"/>
      <c r="E61" s="114"/>
      <c r="F61" s="115"/>
      <c r="G61" s="125">
        <v>0.7</v>
      </c>
      <c r="H61" s="126">
        <v>0.8</v>
      </c>
      <c r="I61" s="4"/>
      <c r="J61" s="4"/>
      <c r="K61" s="4"/>
      <c r="L61" s="4"/>
      <c r="M61" s="4"/>
    </row>
    <row r="62" spans="1:13" x14ac:dyDescent="0.2">
      <c r="A62" s="46"/>
      <c r="B62" s="33" t="s">
        <v>291</v>
      </c>
      <c r="C62" s="9"/>
      <c r="D62" s="9"/>
      <c r="E62" s="120"/>
      <c r="F62" s="121"/>
      <c r="G62" s="127">
        <v>0.7</v>
      </c>
      <c r="H62" s="128">
        <v>0.8</v>
      </c>
      <c r="I62" s="4"/>
      <c r="J62" s="4"/>
      <c r="K62" s="4"/>
      <c r="L62" s="4"/>
      <c r="M62" s="4"/>
    </row>
    <row r="63" spans="1:13" x14ac:dyDescent="0.2">
      <c r="A63" s="6"/>
      <c r="B63" s="4"/>
      <c r="C63" s="4"/>
      <c r="D63" s="4"/>
      <c r="I63" s="4"/>
      <c r="J63" s="4"/>
      <c r="K63" s="4"/>
    </row>
    <row r="64" spans="1:13" x14ac:dyDescent="0.2">
      <c r="A64" s="6"/>
      <c r="B64" s="4"/>
      <c r="C64" s="4"/>
      <c r="D64" s="4"/>
      <c r="I64" s="4"/>
      <c r="J64" s="4"/>
      <c r="K64" s="4"/>
    </row>
    <row r="65" spans="1:13" x14ac:dyDescent="0.2">
      <c r="A65" s="42" t="s">
        <v>106</v>
      </c>
      <c r="B65" s="27"/>
      <c r="C65" s="27"/>
      <c r="D65" s="27"/>
      <c r="E65" s="332"/>
      <c r="F65" s="334"/>
      <c r="G65" s="334"/>
      <c r="H65" s="333"/>
      <c r="I65" s="4"/>
      <c r="J65" s="4"/>
      <c r="K65" s="4"/>
    </row>
    <row r="66" spans="1:13" x14ac:dyDescent="0.2">
      <c r="A66" s="44"/>
      <c r="B66" s="13"/>
      <c r="C66" s="13"/>
      <c r="D66" s="13"/>
      <c r="E66" s="82" t="s">
        <v>54</v>
      </c>
      <c r="F66" s="84" t="s">
        <v>53</v>
      </c>
      <c r="G66" s="84" t="s">
        <v>41</v>
      </c>
      <c r="H66" s="75" t="s">
        <v>40</v>
      </c>
      <c r="I66" s="4"/>
      <c r="J66" s="4"/>
      <c r="K66" s="4"/>
    </row>
    <row r="67" spans="1:13" x14ac:dyDescent="0.2">
      <c r="A67" s="35"/>
      <c r="B67" s="32"/>
      <c r="C67" s="6"/>
      <c r="D67" s="6"/>
      <c r="E67" s="129"/>
      <c r="F67" s="130"/>
      <c r="G67" s="130"/>
      <c r="H67" s="131"/>
      <c r="I67" s="4"/>
      <c r="J67" s="4"/>
      <c r="K67" s="4"/>
    </row>
    <row r="68" spans="1:13" x14ac:dyDescent="0.2">
      <c r="A68" s="46"/>
      <c r="B68" s="33" t="s">
        <v>32</v>
      </c>
      <c r="C68" s="9"/>
      <c r="D68" s="9"/>
      <c r="E68" s="132">
        <v>8</v>
      </c>
      <c r="F68" s="133"/>
      <c r="G68" s="295">
        <v>0</v>
      </c>
      <c r="H68" s="134">
        <v>6.75</v>
      </c>
      <c r="I68" s="4"/>
      <c r="J68" s="4"/>
      <c r="K68" s="4"/>
      <c r="L68" s="4"/>
      <c r="M68" s="4"/>
    </row>
    <row r="69" spans="1:13" x14ac:dyDescent="0.2">
      <c r="A69" s="6"/>
      <c r="B69" s="4"/>
      <c r="C69" s="4"/>
      <c r="D69" s="4"/>
      <c r="I69" s="4"/>
      <c r="J69" s="4"/>
      <c r="K69" s="4"/>
    </row>
    <row r="70" spans="1:13" x14ac:dyDescent="0.2">
      <c r="A70" s="6"/>
      <c r="B70" s="4"/>
      <c r="C70" s="4"/>
      <c r="D70" s="4"/>
      <c r="I70" s="4"/>
      <c r="J70" s="4"/>
      <c r="K70" s="4"/>
    </row>
    <row r="71" spans="1:13" x14ac:dyDescent="0.2">
      <c r="A71" s="296" t="s">
        <v>128</v>
      </c>
      <c r="B71" s="297"/>
      <c r="C71" s="27"/>
      <c r="D71" s="66"/>
      <c r="E71" s="107"/>
      <c r="F71" s="107"/>
      <c r="G71" s="67"/>
      <c r="H71" s="167"/>
      <c r="I71" s="4"/>
      <c r="J71" s="4"/>
      <c r="K71" s="4"/>
    </row>
    <row r="72" spans="1:13" ht="38.25" x14ac:dyDescent="0.2">
      <c r="A72" s="43" t="s">
        <v>324</v>
      </c>
      <c r="B72" s="269" t="s">
        <v>327</v>
      </c>
      <c r="C72" s="13"/>
      <c r="D72" s="82" t="s">
        <v>54</v>
      </c>
      <c r="E72" s="84" t="s">
        <v>124</v>
      </c>
      <c r="F72" s="84" t="s">
        <v>41</v>
      </c>
      <c r="G72" s="75" t="s">
        <v>40</v>
      </c>
      <c r="H72" s="298" t="s">
        <v>113</v>
      </c>
      <c r="I72" s="4"/>
      <c r="J72" s="4"/>
      <c r="K72" s="4"/>
    </row>
    <row r="73" spans="1:13" x14ac:dyDescent="0.2">
      <c r="A73" s="47"/>
      <c r="B73" s="45"/>
      <c r="C73" s="151"/>
      <c r="D73" s="187"/>
      <c r="E73" s="188"/>
      <c r="F73" s="188"/>
      <c r="G73" s="189"/>
      <c r="H73" s="218"/>
      <c r="I73" s="4"/>
      <c r="J73" s="4"/>
      <c r="K73" s="4"/>
    </row>
    <row r="74" spans="1:13" x14ac:dyDescent="0.2">
      <c r="A74" s="35"/>
      <c r="B74" s="32" t="s">
        <v>232</v>
      </c>
      <c r="C74" s="196"/>
      <c r="D74" s="114">
        <v>4.47</v>
      </c>
      <c r="E74" s="115">
        <v>3.63</v>
      </c>
      <c r="F74" s="115">
        <v>0.45</v>
      </c>
      <c r="G74" s="116">
        <v>2.2599999999999998</v>
      </c>
      <c r="H74" s="259">
        <v>81</v>
      </c>
      <c r="I74" s="4"/>
      <c r="J74" s="4"/>
      <c r="K74" s="4"/>
    </row>
    <row r="75" spans="1:13" x14ac:dyDescent="0.2">
      <c r="A75" s="35"/>
      <c r="B75" s="294" t="s">
        <v>328</v>
      </c>
      <c r="C75" s="196"/>
      <c r="D75" s="223">
        <v>100</v>
      </c>
      <c r="E75" s="115"/>
      <c r="F75" s="115"/>
      <c r="G75" s="116"/>
      <c r="H75" s="259"/>
      <c r="I75" s="4"/>
      <c r="J75" s="4"/>
      <c r="K75" s="4"/>
    </row>
    <row r="76" spans="1:13" x14ac:dyDescent="0.2">
      <c r="A76" s="49"/>
      <c r="B76" s="9"/>
      <c r="C76" s="266"/>
      <c r="D76" s="49"/>
      <c r="E76" s="242"/>
      <c r="F76" s="242"/>
      <c r="G76" s="219"/>
      <c r="H76" s="200"/>
    </row>
    <row r="79" spans="1:13" x14ac:dyDescent="0.2">
      <c r="A79" s="42" t="s">
        <v>129</v>
      </c>
      <c r="B79" s="27"/>
      <c r="C79" s="27"/>
      <c r="D79" s="27"/>
      <c r="E79" s="66"/>
      <c r="F79" s="107"/>
      <c r="G79" s="107"/>
      <c r="H79" s="67"/>
      <c r="I79" s="4"/>
    </row>
    <row r="80" spans="1:13" x14ac:dyDescent="0.2">
      <c r="A80" s="44"/>
      <c r="B80" s="13"/>
      <c r="C80" s="13"/>
      <c r="D80" s="13"/>
      <c r="E80" s="82" t="s">
        <v>54</v>
      </c>
      <c r="F80" s="84" t="s">
        <v>53</v>
      </c>
      <c r="G80" s="84" t="s">
        <v>41</v>
      </c>
      <c r="H80" s="75" t="s">
        <v>40</v>
      </c>
      <c r="I80" s="4"/>
    </row>
    <row r="81" spans="1:12" x14ac:dyDescent="0.2">
      <c r="A81" s="47"/>
      <c r="B81" s="45"/>
      <c r="C81" s="45"/>
      <c r="D81" s="151"/>
      <c r="E81" s="187"/>
      <c r="F81" s="188"/>
      <c r="G81" s="188"/>
      <c r="H81" s="189"/>
      <c r="I81" s="4"/>
    </row>
    <row r="82" spans="1:12" x14ac:dyDescent="0.2">
      <c r="A82" s="35"/>
      <c r="B82" s="294" t="s">
        <v>258</v>
      </c>
      <c r="C82" s="32"/>
      <c r="D82" s="196"/>
      <c r="E82" s="215"/>
      <c r="F82" s="216"/>
      <c r="G82" s="125">
        <v>0.7</v>
      </c>
      <c r="H82" s="126">
        <v>0.95</v>
      </c>
      <c r="I82" s="4"/>
    </row>
    <row r="83" spans="1:12" x14ac:dyDescent="0.2">
      <c r="A83" s="46"/>
      <c r="B83" s="33"/>
      <c r="C83" s="33"/>
      <c r="D83" s="219"/>
      <c r="E83" s="172"/>
      <c r="F83" s="153"/>
      <c r="G83" s="153"/>
      <c r="H83" s="155"/>
      <c r="I83" s="4"/>
    </row>
    <row r="86" spans="1:12" x14ac:dyDescent="0.2">
      <c r="A86" s="42" t="s">
        <v>130</v>
      </c>
      <c r="B86" s="27"/>
      <c r="C86" s="27"/>
      <c r="D86" s="27"/>
      <c r="E86" s="27"/>
      <c r="F86" s="107"/>
      <c r="G86" s="107"/>
      <c r="H86" s="67"/>
    </row>
    <row r="87" spans="1:12" x14ac:dyDescent="0.2">
      <c r="A87" s="44"/>
      <c r="B87" s="13"/>
      <c r="C87" s="13"/>
      <c r="D87" s="13"/>
      <c r="E87" s="13"/>
      <c r="F87" s="84"/>
      <c r="G87" s="195"/>
      <c r="H87" s="75"/>
    </row>
    <row r="88" spans="1:12" x14ac:dyDescent="0.2">
      <c r="A88" s="47"/>
      <c r="B88" s="45"/>
      <c r="C88" s="150"/>
      <c r="D88" s="150"/>
      <c r="E88" s="150"/>
      <c r="F88" s="188"/>
      <c r="G88" s="227"/>
      <c r="H88" s="151"/>
    </row>
    <row r="89" spans="1:12" ht="25.5" x14ac:dyDescent="0.2">
      <c r="A89" s="35"/>
      <c r="B89" s="32"/>
      <c r="C89" s="290" t="s">
        <v>308</v>
      </c>
      <c r="D89" s="140" t="s">
        <v>329</v>
      </c>
      <c r="E89" s="289" t="s">
        <v>307</v>
      </c>
      <c r="F89" s="291" t="s">
        <v>309</v>
      </c>
      <c r="G89" s="291" t="s">
        <v>310</v>
      </c>
      <c r="H89" s="196"/>
      <c r="K89" s="232" t="s">
        <v>346</v>
      </c>
    </row>
    <row r="90" spans="1:12" x14ac:dyDescent="0.2">
      <c r="A90" s="35"/>
      <c r="B90" s="32" t="s">
        <v>306</v>
      </c>
      <c r="C90" s="303">
        <f>+'Beregninger med'!E277</f>
        <v>147.60138679809674</v>
      </c>
      <c r="D90" s="108">
        <v>98.9</v>
      </c>
      <c r="E90" s="185">
        <f>+C90-D90</f>
        <v>48.701386798096735</v>
      </c>
      <c r="F90" s="268">
        <v>3.28</v>
      </c>
      <c r="G90" s="185">
        <f>+E90/F90</f>
        <v>14.847983779907542</v>
      </c>
      <c r="H90" s="196"/>
      <c r="I90" s="232" t="s">
        <v>345</v>
      </c>
      <c r="K90" s="4">
        <f>'Beregninger med'!D281</f>
        <v>154.85</v>
      </c>
    </row>
    <row r="91" spans="1:12" x14ac:dyDescent="0.2">
      <c r="A91" s="35"/>
      <c r="B91" s="32" t="s">
        <v>305</v>
      </c>
      <c r="C91" s="320">
        <f>+'Beregninger uden'!E153</f>
        <v>133.05951955529088</v>
      </c>
      <c r="D91" s="108">
        <v>98.9</v>
      </c>
      <c r="E91" s="185">
        <f>+C91-D91</f>
        <v>34.159519555290871</v>
      </c>
      <c r="F91" s="268">
        <v>3.28</v>
      </c>
      <c r="G91" s="185">
        <f>+E91/F91</f>
        <v>10.414487669295998</v>
      </c>
      <c r="H91" s="196"/>
      <c r="K91" s="4">
        <f>'Beregninger uden'!D153</f>
        <v>175.35212229501687</v>
      </c>
    </row>
    <row r="92" spans="1:12" x14ac:dyDescent="0.2">
      <c r="A92" s="35"/>
      <c r="B92" s="32"/>
      <c r="C92" s="185"/>
      <c r="D92" s="243"/>
      <c r="E92" s="185"/>
      <c r="F92" s="3"/>
      <c r="G92" s="185"/>
      <c r="H92" s="196"/>
      <c r="J92" s="232"/>
      <c r="K92" s="4">
        <f>K91-K90</f>
        <v>20.502122295016875</v>
      </c>
      <c r="L92" s="232" t="s">
        <v>347</v>
      </c>
    </row>
    <row r="93" spans="1:12" x14ac:dyDescent="0.2">
      <c r="A93" s="35"/>
      <c r="B93" s="32" t="s">
        <v>77</v>
      </c>
      <c r="C93" s="185">
        <f>+C90-C91</f>
        <v>14.541867242805864</v>
      </c>
      <c r="D93" s="6"/>
      <c r="E93" s="6"/>
      <c r="F93" s="140"/>
      <c r="G93" s="185">
        <f>+G90-G91</f>
        <v>4.4334961106115447</v>
      </c>
      <c r="H93" s="57" t="s">
        <v>259</v>
      </c>
    </row>
    <row r="94" spans="1:12" x14ac:dyDescent="0.2">
      <c r="A94" s="35"/>
      <c r="B94" s="32" t="s">
        <v>311</v>
      </c>
      <c r="C94" s="6"/>
      <c r="D94" s="6"/>
      <c r="E94" s="6"/>
      <c r="F94" s="140"/>
      <c r="G94" s="268">
        <v>150</v>
      </c>
      <c r="H94" s="57" t="s">
        <v>260</v>
      </c>
    </row>
    <row r="95" spans="1:12" x14ac:dyDescent="0.2">
      <c r="A95" s="49"/>
      <c r="B95" s="242"/>
      <c r="C95" s="242"/>
      <c r="D95" s="242"/>
      <c r="E95" s="242"/>
      <c r="F95" s="242"/>
      <c r="G95" s="242"/>
      <c r="H95" s="219"/>
    </row>
    <row r="98" spans="1:8" x14ac:dyDescent="0.2">
      <c r="A98" s="42" t="s">
        <v>132</v>
      </c>
      <c r="B98" s="27"/>
      <c r="C98" s="27"/>
      <c r="D98" s="27"/>
      <c r="E98" s="27"/>
      <c r="F98" s="107"/>
      <c r="G98" s="107"/>
      <c r="H98" s="67"/>
    </row>
    <row r="99" spans="1:8" x14ac:dyDescent="0.2">
      <c r="A99" s="44"/>
      <c r="B99" s="13"/>
      <c r="C99" s="13"/>
      <c r="D99" s="13"/>
      <c r="E99" s="13"/>
      <c r="F99" s="84"/>
      <c r="G99" s="195"/>
      <c r="H99" s="75"/>
    </row>
    <row r="100" spans="1:8" x14ac:dyDescent="0.2">
      <c r="A100" s="35"/>
      <c r="B100" s="32"/>
      <c r="C100" s="32"/>
      <c r="D100" s="6"/>
      <c r="E100" s="6"/>
      <c r="F100" s="140"/>
      <c r="G100" s="105"/>
      <c r="H100" s="196"/>
    </row>
    <row r="101" spans="1:8" x14ac:dyDescent="0.2">
      <c r="A101" s="35"/>
      <c r="B101" s="32" t="s">
        <v>74</v>
      </c>
      <c r="C101" s="32"/>
      <c r="D101" s="6"/>
      <c r="F101" s="140"/>
      <c r="G101" s="234">
        <v>0.01</v>
      </c>
      <c r="H101" s="196"/>
    </row>
    <row r="102" spans="1:8" x14ac:dyDescent="0.2">
      <c r="A102" s="35"/>
      <c r="B102" s="32" t="s">
        <v>261</v>
      </c>
      <c r="C102" s="32"/>
      <c r="D102" s="32"/>
      <c r="E102" s="32"/>
      <c r="F102" s="32"/>
      <c r="G102" s="233">
        <v>0.38</v>
      </c>
      <c r="H102" s="57" t="s">
        <v>134</v>
      </c>
    </row>
    <row r="103" spans="1:8" x14ac:dyDescent="0.2">
      <c r="A103" s="35"/>
      <c r="B103" s="32" t="s">
        <v>138</v>
      </c>
      <c r="C103" s="32"/>
      <c r="D103" s="6"/>
      <c r="E103" s="6"/>
      <c r="F103" s="140"/>
      <c r="G103" s="268">
        <v>240</v>
      </c>
      <c r="H103" s="57" t="s">
        <v>260</v>
      </c>
    </row>
    <row r="104" spans="1:8" x14ac:dyDescent="0.2">
      <c r="A104" s="46"/>
      <c r="B104" s="180"/>
      <c r="C104" s="180"/>
      <c r="D104" s="180"/>
      <c r="E104" s="180"/>
      <c r="F104" s="229"/>
      <c r="G104" s="229"/>
      <c r="H104" s="230"/>
    </row>
    <row r="107" spans="1:8" x14ac:dyDescent="0.2">
      <c r="A107" s="42" t="s">
        <v>147</v>
      </c>
      <c r="B107" s="27"/>
      <c r="C107" s="27"/>
      <c r="D107" s="27"/>
      <c r="E107" s="107"/>
      <c r="F107" s="107"/>
      <c r="G107" s="107"/>
      <c r="H107" s="67"/>
    </row>
    <row r="108" spans="1:8" x14ac:dyDescent="0.2">
      <c r="A108" s="44"/>
      <c r="B108" s="269" t="s">
        <v>262</v>
      </c>
      <c r="C108" s="13"/>
      <c r="D108" s="195"/>
      <c r="E108" s="195"/>
      <c r="F108" s="195" t="s">
        <v>297</v>
      </c>
      <c r="G108" s="84" t="s">
        <v>97</v>
      </c>
      <c r="H108" s="75"/>
    </row>
    <row r="109" spans="1:8" x14ac:dyDescent="0.2">
      <c r="A109" s="47"/>
      <c r="B109" s="45"/>
      <c r="C109" s="150"/>
      <c r="D109" s="150"/>
      <c r="E109" s="188"/>
      <c r="F109" s="103"/>
      <c r="G109" s="241"/>
      <c r="H109" s="189"/>
    </row>
    <row r="110" spans="1:8" x14ac:dyDescent="0.2">
      <c r="A110" s="35"/>
      <c r="B110" s="32" t="s">
        <v>17</v>
      </c>
      <c r="C110" s="6"/>
      <c r="D110" s="6"/>
      <c r="E110" s="140"/>
      <c r="F110" s="140"/>
      <c r="G110" s="268">
        <v>15.4</v>
      </c>
      <c r="H110" s="57" t="s">
        <v>263</v>
      </c>
    </row>
    <row r="111" spans="1:8" x14ac:dyDescent="0.2">
      <c r="A111" s="35"/>
      <c r="B111" s="32" t="s">
        <v>247</v>
      </c>
      <c r="C111" s="6"/>
      <c r="D111" s="6"/>
      <c r="E111" s="140"/>
      <c r="F111" s="140"/>
      <c r="G111" s="268">
        <v>0</v>
      </c>
      <c r="H111" s="57" t="s">
        <v>263</v>
      </c>
    </row>
    <row r="112" spans="1:8" x14ac:dyDescent="0.2">
      <c r="A112" s="35"/>
      <c r="B112" s="32" t="s">
        <v>193</v>
      </c>
      <c r="C112" s="6"/>
      <c r="D112" s="6"/>
      <c r="E112" s="140"/>
      <c r="F112" s="140"/>
      <c r="G112" s="268">
        <v>0</v>
      </c>
      <c r="H112" s="57" t="s">
        <v>263</v>
      </c>
    </row>
    <row r="113" spans="1:8" x14ac:dyDescent="0.2">
      <c r="A113" s="35"/>
      <c r="B113" s="32" t="s">
        <v>189</v>
      </c>
      <c r="C113" s="6"/>
      <c r="D113" s="6"/>
      <c r="E113" s="140"/>
      <c r="F113" s="140"/>
      <c r="G113" s="268">
        <v>-5.71</v>
      </c>
      <c r="H113" s="57" t="s">
        <v>263</v>
      </c>
    </row>
    <row r="114" spans="1:8" x14ac:dyDescent="0.2">
      <c r="A114" s="35"/>
      <c r="B114" s="32" t="s">
        <v>190</v>
      </c>
      <c r="C114" s="6"/>
      <c r="D114" s="6"/>
      <c r="E114" s="140"/>
      <c r="F114" s="140"/>
      <c r="G114" s="268">
        <v>-4.04</v>
      </c>
      <c r="H114" s="57" t="s">
        <v>263</v>
      </c>
    </row>
    <row r="115" spans="1:8" x14ac:dyDescent="0.2">
      <c r="A115" s="35"/>
      <c r="B115" s="32" t="s">
        <v>191</v>
      </c>
      <c r="C115" s="6"/>
      <c r="D115" s="6"/>
      <c r="E115" s="140"/>
      <c r="F115" s="140"/>
      <c r="G115" s="268">
        <v>-5.96</v>
      </c>
      <c r="H115" s="57" t="s">
        <v>263</v>
      </c>
    </row>
    <row r="116" spans="1:8" x14ac:dyDescent="0.2">
      <c r="A116" s="35"/>
      <c r="B116" s="32" t="s">
        <v>192</v>
      </c>
      <c r="C116" s="6"/>
      <c r="D116" s="6"/>
      <c r="E116" s="140"/>
      <c r="F116" s="140"/>
      <c r="G116" s="268">
        <v>-4.51</v>
      </c>
      <c r="H116" s="57" t="s">
        <v>263</v>
      </c>
    </row>
    <row r="117" spans="1:8" x14ac:dyDescent="0.2">
      <c r="A117" s="35"/>
      <c r="B117" s="32" t="s">
        <v>200</v>
      </c>
      <c r="C117" s="6"/>
      <c r="D117" s="6"/>
      <c r="F117" s="235">
        <v>10</v>
      </c>
      <c r="G117" s="268">
        <v>0</v>
      </c>
      <c r="H117" s="57" t="s">
        <v>264</v>
      </c>
    </row>
    <row r="118" spans="1:8" x14ac:dyDescent="0.2">
      <c r="A118" s="35"/>
      <c r="B118" s="32" t="s">
        <v>201</v>
      </c>
      <c r="C118" s="6"/>
      <c r="D118" s="6"/>
      <c r="F118" s="235">
        <v>10</v>
      </c>
      <c r="G118" s="268">
        <v>12</v>
      </c>
      <c r="H118" s="57" t="s">
        <v>264</v>
      </c>
    </row>
    <row r="119" spans="1:8" x14ac:dyDescent="0.2">
      <c r="A119" s="35"/>
      <c r="B119" s="32" t="s">
        <v>202</v>
      </c>
      <c r="C119" s="6"/>
      <c r="D119" s="6"/>
      <c r="E119" s="3"/>
      <c r="F119" s="235">
        <v>0</v>
      </c>
      <c r="G119" s="268">
        <v>1</v>
      </c>
      <c r="H119" s="57" t="s">
        <v>265</v>
      </c>
    </row>
    <row r="120" spans="1:8" x14ac:dyDescent="0.2">
      <c r="A120" s="35"/>
      <c r="B120" s="32"/>
      <c r="C120" s="6"/>
      <c r="D120" s="6"/>
      <c r="E120" s="3"/>
      <c r="F120" s="235"/>
      <c r="G120" s="268"/>
      <c r="H120" s="57"/>
    </row>
    <row r="121" spans="1:8" x14ac:dyDescent="0.2">
      <c r="A121" s="35"/>
      <c r="B121" s="32" t="s">
        <v>298</v>
      </c>
      <c r="C121" s="32"/>
      <c r="D121" s="6"/>
      <c r="E121" s="3"/>
      <c r="F121" s="235"/>
      <c r="G121" s="268">
        <v>20</v>
      </c>
      <c r="H121" s="57" t="s">
        <v>263</v>
      </c>
    </row>
    <row r="122" spans="1:8" x14ac:dyDescent="0.2">
      <c r="A122" s="35"/>
      <c r="B122" s="32" t="s">
        <v>299</v>
      </c>
      <c r="C122" s="32"/>
      <c r="D122" s="6"/>
      <c r="E122" s="3"/>
      <c r="F122" s="235"/>
      <c r="G122" s="268">
        <v>20</v>
      </c>
      <c r="H122" s="57" t="s">
        <v>263</v>
      </c>
    </row>
    <row r="123" spans="1:8" x14ac:dyDescent="0.2">
      <c r="A123" s="35"/>
      <c r="B123" s="32" t="s">
        <v>300</v>
      </c>
      <c r="C123" s="32"/>
      <c r="D123" s="6"/>
      <c r="E123" s="3"/>
      <c r="F123" s="235"/>
      <c r="G123" s="268">
        <v>20</v>
      </c>
      <c r="H123" s="57" t="s">
        <v>263</v>
      </c>
    </row>
    <row r="124" spans="1:8" x14ac:dyDescent="0.2">
      <c r="A124" s="35"/>
      <c r="B124" s="32" t="s">
        <v>301</v>
      </c>
      <c r="C124" s="32"/>
      <c r="D124" s="6"/>
      <c r="E124" s="3"/>
      <c r="F124" s="235"/>
      <c r="G124" s="268">
        <v>20</v>
      </c>
      <c r="H124" s="57" t="s">
        <v>263</v>
      </c>
    </row>
    <row r="125" spans="1:8" x14ac:dyDescent="0.2">
      <c r="A125" s="35"/>
      <c r="B125" s="32" t="s">
        <v>302</v>
      </c>
      <c r="C125" s="32"/>
      <c r="D125" s="6"/>
      <c r="E125" s="3"/>
      <c r="F125" s="235"/>
      <c r="G125" s="268">
        <v>20</v>
      </c>
      <c r="H125" s="57" t="s">
        <v>263</v>
      </c>
    </row>
    <row r="126" spans="1:8" x14ac:dyDescent="0.2">
      <c r="A126" s="35"/>
      <c r="B126" s="32" t="s">
        <v>303</v>
      </c>
      <c r="C126" s="32"/>
      <c r="D126" s="6"/>
      <c r="E126" s="3"/>
      <c r="F126" s="235"/>
      <c r="G126" s="268">
        <v>20</v>
      </c>
      <c r="H126" s="57" t="s">
        <v>263</v>
      </c>
    </row>
    <row r="127" spans="1:8" x14ac:dyDescent="0.2">
      <c r="A127" s="35"/>
      <c r="B127" s="32" t="s">
        <v>304</v>
      </c>
      <c r="C127" s="32"/>
      <c r="D127" s="6"/>
      <c r="E127" s="3"/>
      <c r="F127" s="235"/>
      <c r="G127" s="268">
        <v>20</v>
      </c>
      <c r="H127" s="57" t="s">
        <v>263</v>
      </c>
    </row>
    <row r="128" spans="1:8" ht="27" customHeight="1" x14ac:dyDescent="0.2">
      <c r="A128" s="35"/>
      <c r="B128" s="32"/>
      <c r="D128" s="6"/>
      <c r="E128" s="272" t="s">
        <v>204</v>
      </c>
      <c r="F128" s="272" t="s">
        <v>206</v>
      </c>
      <c r="G128" s="268"/>
      <c r="H128" s="57"/>
    </row>
    <row r="129" spans="1:8" x14ac:dyDescent="0.2">
      <c r="A129" s="35"/>
      <c r="B129" s="32" t="s">
        <v>209</v>
      </c>
      <c r="C129" s="6"/>
      <c r="D129" s="6"/>
      <c r="E129" s="250">
        <v>4.22</v>
      </c>
      <c r="F129" s="250">
        <v>-2.64</v>
      </c>
      <c r="G129" s="268"/>
      <c r="H129" s="57"/>
    </row>
    <row r="130" spans="1:8" x14ac:dyDescent="0.2">
      <c r="A130" s="35"/>
      <c r="B130" s="32" t="s">
        <v>210</v>
      </c>
      <c r="C130" s="6"/>
      <c r="D130" s="6"/>
      <c r="E130" s="250">
        <v>4.22</v>
      </c>
      <c r="F130" s="250">
        <v>-2.64</v>
      </c>
      <c r="G130" s="268"/>
      <c r="H130" s="57"/>
    </row>
    <row r="131" spans="1:8" x14ac:dyDescent="0.2">
      <c r="A131" s="35"/>
      <c r="B131" s="32" t="s">
        <v>211</v>
      </c>
      <c r="C131" s="6"/>
      <c r="D131" s="6"/>
      <c r="E131" s="250">
        <v>2</v>
      </c>
      <c r="F131" s="250">
        <v>-2.64</v>
      </c>
      <c r="G131" s="268"/>
      <c r="H131" s="57"/>
    </row>
    <row r="132" spans="1:8" x14ac:dyDescent="0.2">
      <c r="A132" s="35"/>
      <c r="B132" s="32" t="s">
        <v>212</v>
      </c>
      <c r="C132" s="6"/>
      <c r="D132" s="6"/>
      <c r="E132" s="250">
        <v>2</v>
      </c>
      <c r="F132" s="250">
        <v>-2.64</v>
      </c>
      <c r="G132" s="268"/>
      <c r="H132" s="57"/>
    </row>
    <row r="133" spans="1:8" x14ac:dyDescent="0.2">
      <c r="A133" s="35"/>
      <c r="B133" s="32" t="s">
        <v>213</v>
      </c>
      <c r="C133" s="6"/>
      <c r="D133" s="6"/>
      <c r="E133" s="250">
        <v>2.79</v>
      </c>
      <c r="F133" s="250">
        <v>-2.64</v>
      </c>
      <c r="G133" s="268"/>
      <c r="H133" s="57"/>
    </row>
    <row r="134" spans="1:8" x14ac:dyDescent="0.2">
      <c r="A134" s="35"/>
      <c r="B134" s="32" t="s">
        <v>214</v>
      </c>
      <c r="C134" s="6"/>
      <c r="D134" s="6"/>
      <c r="E134" s="250">
        <v>0.94</v>
      </c>
      <c r="F134" s="250">
        <v>-2.64</v>
      </c>
      <c r="G134" s="268"/>
      <c r="H134" s="57"/>
    </row>
    <row r="135" spans="1:8" x14ac:dyDescent="0.2">
      <c r="A135" s="35"/>
      <c r="B135" s="32" t="s">
        <v>234</v>
      </c>
      <c r="C135" s="6"/>
      <c r="D135" s="6"/>
      <c r="E135" s="140"/>
      <c r="F135" s="140"/>
      <c r="G135" s="268">
        <v>20</v>
      </c>
      <c r="H135" s="57" t="s">
        <v>263</v>
      </c>
    </row>
    <row r="136" spans="1:8" x14ac:dyDescent="0.2">
      <c r="A136" s="35"/>
      <c r="B136" s="32" t="s">
        <v>266</v>
      </c>
      <c r="C136" s="6"/>
      <c r="D136" s="6"/>
      <c r="E136" s="140"/>
      <c r="F136" s="140"/>
      <c r="G136" s="268">
        <v>32</v>
      </c>
      <c r="H136" s="57" t="s">
        <v>83</v>
      </c>
    </row>
    <row r="137" spans="1:8" x14ac:dyDescent="0.2">
      <c r="A137" s="35"/>
      <c r="B137" s="32"/>
      <c r="C137" s="6"/>
      <c r="D137" s="6"/>
      <c r="E137" s="140"/>
      <c r="F137" s="140"/>
      <c r="G137" s="268"/>
      <c r="H137" s="57"/>
    </row>
    <row r="138" spans="1:8" x14ac:dyDescent="0.2">
      <c r="A138" s="35"/>
      <c r="B138" s="32" t="s">
        <v>194</v>
      </c>
      <c r="C138" s="6"/>
      <c r="D138" s="6"/>
      <c r="E138" s="268">
        <v>-0.66</v>
      </c>
      <c r="F138" s="140" t="s">
        <v>267</v>
      </c>
      <c r="G138" s="268"/>
      <c r="H138" s="57"/>
    </row>
    <row r="139" spans="1:8" x14ac:dyDescent="0.2">
      <c r="A139" s="35"/>
      <c r="B139" s="32" t="s">
        <v>195</v>
      </c>
      <c r="C139" s="6"/>
      <c r="D139" s="6"/>
      <c r="E139" s="268">
        <v>-0.66</v>
      </c>
      <c r="F139" s="140" t="s">
        <v>267</v>
      </c>
      <c r="G139" s="268"/>
      <c r="H139" s="57"/>
    </row>
    <row r="140" spans="1:8" x14ac:dyDescent="0.2">
      <c r="A140" s="35"/>
      <c r="B140" s="32" t="s">
        <v>196</v>
      </c>
      <c r="C140" s="6"/>
      <c r="D140" s="6"/>
      <c r="E140" s="268">
        <v>-0.93</v>
      </c>
      <c r="F140" s="140" t="s">
        <v>267</v>
      </c>
      <c r="G140" s="268"/>
      <c r="H140" s="57"/>
    </row>
    <row r="141" spans="1:8" x14ac:dyDescent="0.2">
      <c r="A141" s="35"/>
      <c r="B141" s="32" t="s">
        <v>197</v>
      </c>
      <c r="C141" s="6"/>
      <c r="D141" s="6"/>
      <c r="E141" s="268">
        <v>-0.93</v>
      </c>
      <c r="F141" s="140" t="s">
        <v>267</v>
      </c>
      <c r="G141" s="268"/>
      <c r="H141" s="57"/>
    </row>
    <row r="142" spans="1:8" x14ac:dyDescent="0.2">
      <c r="A142" s="35"/>
      <c r="B142" s="32" t="s">
        <v>198</v>
      </c>
      <c r="C142" s="6"/>
      <c r="D142" s="6"/>
      <c r="E142" s="268">
        <v>-0.93</v>
      </c>
      <c r="F142" s="140" t="s">
        <v>267</v>
      </c>
      <c r="G142" s="268"/>
      <c r="H142" s="57"/>
    </row>
    <row r="143" spans="1:8" x14ac:dyDescent="0.2">
      <c r="A143" s="35"/>
      <c r="B143" s="32" t="s">
        <v>199</v>
      </c>
      <c r="C143" s="6"/>
      <c r="D143" s="6"/>
      <c r="E143" s="268">
        <v>-1.01</v>
      </c>
      <c r="F143" s="140" t="s">
        <v>267</v>
      </c>
      <c r="G143" s="268"/>
      <c r="H143" s="57"/>
    </row>
    <row r="144" spans="1:8" x14ac:dyDescent="0.2">
      <c r="A144" s="35"/>
      <c r="B144" s="32"/>
      <c r="C144" s="6"/>
      <c r="D144" s="6"/>
      <c r="E144" s="140"/>
      <c r="F144" s="140"/>
      <c r="G144" s="268"/>
      <c r="H144" s="57"/>
    </row>
    <row r="145" spans="1:8" x14ac:dyDescent="0.2">
      <c r="A145" s="35"/>
      <c r="B145" s="32" t="s">
        <v>269</v>
      </c>
      <c r="C145" s="6"/>
      <c r="D145" s="6"/>
      <c r="E145" s="140"/>
      <c r="F145" s="140"/>
      <c r="G145" s="268">
        <v>525</v>
      </c>
      <c r="H145" s="57" t="s">
        <v>270</v>
      </c>
    </row>
    <row r="146" spans="1:8" x14ac:dyDescent="0.2">
      <c r="A146" s="46"/>
      <c r="B146" s="33"/>
      <c r="C146" s="9"/>
      <c r="D146" s="9"/>
      <c r="E146" s="153"/>
      <c r="F146" s="271"/>
      <c r="G146" s="270"/>
      <c r="H146" s="155"/>
    </row>
    <row r="149" spans="1:8" x14ac:dyDescent="0.2">
      <c r="A149" s="42" t="s">
        <v>271</v>
      </c>
      <c r="B149" s="27"/>
      <c r="C149" s="27"/>
      <c r="D149" s="27"/>
      <c r="E149" s="107"/>
      <c r="F149" s="107"/>
      <c r="G149" s="107"/>
      <c r="H149" s="67"/>
    </row>
    <row r="150" spans="1:8" x14ac:dyDescent="0.2">
      <c r="A150" s="44"/>
      <c r="B150" s="269"/>
      <c r="C150" s="13"/>
      <c r="D150" s="195"/>
      <c r="E150" s="195"/>
      <c r="F150" s="195"/>
      <c r="G150" s="84"/>
      <c r="H150" s="75"/>
    </row>
    <row r="151" spans="1:8" x14ac:dyDescent="0.2">
      <c r="A151" s="47"/>
      <c r="B151" s="45"/>
      <c r="C151" s="150"/>
      <c r="D151" s="150"/>
      <c r="E151" s="188"/>
      <c r="F151" s="103"/>
      <c r="G151" s="241"/>
      <c r="H151" s="189"/>
    </row>
    <row r="152" spans="1:8" x14ac:dyDescent="0.2">
      <c r="A152" s="48"/>
      <c r="B152" s="32" t="s">
        <v>272</v>
      </c>
      <c r="C152" s="6"/>
      <c r="D152" s="6"/>
      <c r="E152" s="140"/>
      <c r="F152" s="7"/>
      <c r="G152" s="234">
        <v>0.95</v>
      </c>
      <c r="H152" s="196"/>
    </row>
    <row r="153" spans="1:8" x14ac:dyDescent="0.2">
      <c r="A153" s="49"/>
      <c r="B153" s="9"/>
      <c r="C153" s="9"/>
      <c r="D153" s="9"/>
      <c r="E153" s="242"/>
      <c r="F153" s="242"/>
      <c r="G153" s="242"/>
      <c r="H153" s="219"/>
    </row>
    <row r="156" spans="1:8" x14ac:dyDescent="0.2">
      <c r="B156" s="232" t="s">
        <v>331</v>
      </c>
    </row>
    <row r="157" spans="1:8" x14ac:dyDescent="0.2">
      <c r="B157" s="232" t="s">
        <v>330</v>
      </c>
    </row>
  </sheetData>
  <mergeCells count="5">
    <mergeCell ref="E8:F8"/>
    <mergeCell ref="G8:H8"/>
    <mergeCell ref="E27:H27"/>
    <mergeCell ref="E46:H46"/>
    <mergeCell ref="E65:H65"/>
  </mergeCells>
  <printOptions horizontalCentered="1" headings="1"/>
  <pageMargins left="0.86614173228346458" right="0.31496062992125984" top="0.27559055118110237" bottom="0.47244094488188981" header="0" footer="0.27559055118110237"/>
  <pageSetup paperSize="9" scale="85" fitToHeight="0" orientation="portrait" r:id="rId1"/>
  <headerFooter alignWithMargins="0">
    <oddFooter>&amp;L&amp;8Udskrevet &amp;D;kl. &amp;T&amp;C&amp;10Side &amp;P af &amp;N&amp;R&amp;8&amp;F/&amp;A</oddFooter>
  </headerFooter>
  <rowBreaks count="1" manualBreakCount="1">
    <brk id="104" max="7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58"/>
  <sheetViews>
    <sheetView showGridLines="0" tabSelected="1" zoomScaleNormal="100" zoomScaleSheetLayoutView="100" workbookViewId="0">
      <pane ySplit="5" topLeftCell="A6" activePane="bottomLeft" state="frozen"/>
      <selection activeCell="J59" sqref="J59"/>
      <selection pane="bottomLeft" activeCell="E5" sqref="E5"/>
    </sheetView>
  </sheetViews>
  <sheetFormatPr defaultColWidth="8" defaultRowHeight="12.75" x14ac:dyDescent="0.2"/>
  <cols>
    <col min="1" max="1" width="7.109375" style="3" customWidth="1"/>
    <col min="2" max="2" width="26.5546875" style="3" customWidth="1"/>
    <col min="3" max="4" width="9.6640625" style="3" customWidth="1"/>
    <col min="5" max="8" width="8" style="4" customWidth="1"/>
    <col min="9" max="9" width="6.44140625" style="3" customWidth="1"/>
    <col min="10" max="10" width="9.33203125" style="3" customWidth="1"/>
    <col min="11" max="11" width="7" style="3" customWidth="1"/>
    <col min="12" max="16384" width="8" style="3"/>
  </cols>
  <sheetData>
    <row r="1" spans="1:13" s="1" customFormat="1" ht="15" x14ac:dyDescent="0.2">
      <c r="A1" s="1" t="str">
        <f ca="1">CELL("filnavn",B1)</f>
        <v>C:\Users\SST\AppData\Local\Microsoft\Windows\Temporary Internet Files\Content.Outlook\2FA5JZUZ\[MBE Busines case - Niels Mikkelsen - ver A2.xlsx]Beregninger uden</v>
      </c>
      <c r="E1" s="2"/>
      <c r="F1" s="2"/>
      <c r="G1" s="2"/>
      <c r="H1" s="2"/>
    </row>
    <row r="2" spans="1:13" s="1" customFormat="1" ht="46.5" customHeight="1" thickBot="1" x14ac:dyDescent="0.3">
      <c r="A2" s="5"/>
      <c r="B2" s="5"/>
      <c r="C2" s="5"/>
      <c r="D2" s="5"/>
      <c r="E2" s="2"/>
      <c r="G2" s="14"/>
      <c r="H2" s="15"/>
    </row>
    <row r="3" spans="1:13" s="1" customFormat="1" ht="20.25" x14ac:dyDescent="0.3">
      <c r="A3" s="16" t="s">
        <v>6</v>
      </c>
      <c r="B3" s="17"/>
      <c r="C3" s="17"/>
      <c r="D3" s="17"/>
      <c r="E3" s="18"/>
      <c r="F3" s="31"/>
      <c r="G3" s="19"/>
      <c r="H3" s="20"/>
    </row>
    <row r="4" spans="1:13" s="1" customFormat="1" ht="16.5" customHeight="1" x14ac:dyDescent="0.2">
      <c r="A4" s="34" t="s">
        <v>7</v>
      </c>
      <c r="B4" s="11"/>
      <c r="C4" s="11"/>
      <c r="D4" s="11"/>
      <c r="E4" s="12"/>
      <c r="F4" s="30" t="s">
        <v>0</v>
      </c>
      <c r="G4" s="8"/>
      <c r="H4" s="37">
        <f>+'Forudsætninger - bedrift'!H4</f>
        <v>41281</v>
      </c>
    </row>
    <row r="5" spans="1:13" s="1" customFormat="1" ht="16.5" thickBot="1" x14ac:dyDescent="0.3">
      <c r="A5" s="138" t="s">
        <v>95</v>
      </c>
      <c r="B5" s="135"/>
      <c r="C5" s="135"/>
      <c r="D5" s="135"/>
      <c r="E5" s="136" t="str">
        <f>+'Forudsætninger - bedrift'!D5</f>
        <v>Niels Mikkelsen - Version A2</v>
      </c>
      <c r="F5" s="136"/>
      <c r="G5" s="136"/>
      <c r="H5" s="137"/>
    </row>
    <row r="6" spans="1:13" s="1" customFormat="1" ht="15.75" x14ac:dyDescent="0.25">
      <c r="A6" s="10"/>
      <c r="B6" s="25"/>
      <c r="C6" s="25"/>
      <c r="D6" s="25"/>
      <c r="E6" s="26"/>
      <c r="F6" s="26"/>
      <c r="G6" s="26"/>
      <c r="H6" s="26"/>
    </row>
    <row r="7" spans="1:13" s="1" customFormat="1" ht="15.75" x14ac:dyDescent="0.25">
      <c r="A7" s="29"/>
      <c r="B7" s="29"/>
      <c r="C7" s="29"/>
      <c r="D7" s="29"/>
      <c r="E7" s="26"/>
      <c r="F7" s="26"/>
      <c r="G7" s="26"/>
      <c r="H7" s="26"/>
    </row>
    <row r="8" spans="1:13" s="1" customFormat="1" ht="15" x14ac:dyDescent="0.2">
      <c r="A8" s="42" t="s">
        <v>107</v>
      </c>
      <c r="B8" s="27"/>
      <c r="C8" s="27"/>
      <c r="D8" s="332"/>
      <c r="E8" s="334"/>
      <c r="F8" s="334"/>
      <c r="G8" s="333"/>
    </row>
    <row r="9" spans="1:13" s="1" customFormat="1" ht="38.25" x14ac:dyDescent="0.2">
      <c r="A9" s="44"/>
      <c r="B9" s="13"/>
      <c r="C9" s="13"/>
      <c r="D9" s="82" t="s">
        <v>56</v>
      </c>
      <c r="E9" s="84" t="s">
        <v>108</v>
      </c>
      <c r="F9" s="84" t="s">
        <v>109</v>
      </c>
      <c r="G9" s="75"/>
    </row>
    <row r="10" spans="1:13" x14ac:dyDescent="0.2">
      <c r="A10" s="35"/>
      <c r="B10" s="32"/>
      <c r="C10" s="6"/>
      <c r="D10" s="101"/>
      <c r="E10" s="105"/>
      <c r="F10" s="108"/>
      <c r="G10" s="109"/>
      <c r="I10" s="4"/>
      <c r="J10" s="4"/>
    </row>
    <row r="11" spans="1:13" x14ac:dyDescent="0.2">
      <c r="A11" s="35"/>
      <c r="B11" s="32" t="s">
        <v>332</v>
      </c>
      <c r="C11" s="6"/>
      <c r="D11" s="139">
        <f>'Forudsætninger - bedrift'!E60*'Standard værdier'!E11</f>
        <v>0</v>
      </c>
      <c r="E11" s="143">
        <f>+'Forudsætninger - bedrift'!G102/'Standard værdier'!F11</f>
        <v>1</v>
      </c>
      <c r="F11" s="141">
        <f>D11/'Forudsætninger - bedrift'!E102*'Standard værdier'!F11</f>
        <v>0</v>
      </c>
      <c r="G11" s="142"/>
      <c r="I11" s="4"/>
      <c r="J11" s="4"/>
      <c r="K11" s="4"/>
      <c r="L11" s="4"/>
      <c r="M11" s="4"/>
    </row>
    <row r="12" spans="1:13" x14ac:dyDescent="0.2">
      <c r="A12" s="35"/>
      <c r="B12" s="32" t="s">
        <v>12</v>
      </c>
      <c r="C12" s="6"/>
      <c r="D12" s="139">
        <f>'Forudsætninger - bedrift'!E61*'Standard værdier'!E12</f>
        <v>0</v>
      </c>
      <c r="E12" s="143">
        <f>+'Forudsætninger - bedrift'!G103/'Standard værdier'!F12</f>
        <v>1</v>
      </c>
      <c r="F12" s="141">
        <f>D12/'Forudsætninger - bedrift'!E103*'Standard værdier'!F12</f>
        <v>0</v>
      </c>
      <c r="G12" s="142"/>
      <c r="I12" s="4"/>
      <c r="J12" s="4"/>
      <c r="K12" s="4"/>
      <c r="L12" s="4"/>
      <c r="M12" s="4"/>
    </row>
    <row r="13" spans="1:13" x14ac:dyDescent="0.2">
      <c r="A13" s="35"/>
      <c r="B13" s="32" t="s">
        <v>5</v>
      </c>
      <c r="C13" s="6"/>
      <c r="D13" s="139">
        <f>'Forudsætninger - bedrift'!E62*'Standard værdier'!E13</f>
        <v>0</v>
      </c>
      <c r="E13" s="143">
        <f>+'Forudsætninger - bedrift'!G104/'Standard værdier'!F13</f>
        <v>1</v>
      </c>
      <c r="F13" s="141">
        <f>D13/'Forudsætninger - bedrift'!E104*'Standard værdier'!F13</f>
        <v>0</v>
      </c>
      <c r="G13" s="142"/>
      <c r="I13" s="4"/>
      <c r="J13" s="4"/>
      <c r="K13" s="4"/>
      <c r="L13" s="4"/>
      <c r="M13" s="4"/>
    </row>
    <row r="14" spans="1:13" x14ac:dyDescent="0.2">
      <c r="A14" s="35"/>
      <c r="B14" s="32" t="s">
        <v>13</v>
      </c>
      <c r="C14" s="6"/>
      <c r="D14" s="139">
        <f>'Forudsætninger - bedrift'!E63*'Standard værdier'!E14</f>
        <v>0</v>
      </c>
      <c r="E14" s="143">
        <f>+'Forudsætninger - bedrift'!G105/'Standard værdier'!F14</f>
        <v>1</v>
      </c>
      <c r="F14" s="141">
        <f>D14/'Forudsætninger - bedrift'!E105*'Standard værdier'!F14</f>
        <v>0</v>
      </c>
      <c r="G14" s="142"/>
      <c r="I14" s="4"/>
      <c r="J14" s="4"/>
      <c r="K14" s="4"/>
      <c r="L14" s="4"/>
      <c r="M14" s="4"/>
    </row>
    <row r="15" spans="1:13" x14ac:dyDescent="0.2">
      <c r="A15" s="35"/>
      <c r="B15" s="32" t="s">
        <v>50</v>
      </c>
      <c r="C15" s="6"/>
      <c r="D15" s="139">
        <f>'Forudsætninger - bedrift'!E64*'Standard værdier'!E15</f>
        <v>5299.2</v>
      </c>
      <c r="E15" s="143">
        <f>+'Forudsætninger - bedrift'!G106/'Standard værdier'!F15</f>
        <v>0.82500000000000007</v>
      </c>
      <c r="F15" s="141">
        <f>D15/'Forudsætninger - bedrift'!E106*'Standard værdier'!F15</f>
        <v>6423.2727272727261</v>
      </c>
      <c r="G15" s="142"/>
      <c r="I15" s="4"/>
      <c r="J15" s="4"/>
    </row>
    <row r="16" spans="1:13" x14ac:dyDescent="0.2">
      <c r="A16" s="35"/>
      <c r="B16" s="32" t="s">
        <v>3</v>
      </c>
      <c r="C16" s="6"/>
      <c r="D16" s="139">
        <f>'Forudsætninger - bedrift'!E65*'Standard værdier'!E16</f>
        <v>0</v>
      </c>
      <c r="E16" s="143">
        <f>+'Forudsætninger - bedrift'!G107/'Standard værdier'!F16</f>
        <v>2.0408163265306121E-2</v>
      </c>
      <c r="F16" s="141">
        <f>D16/'Forudsætninger - bedrift'!E107*'Standard værdier'!F16</f>
        <v>0</v>
      </c>
      <c r="G16" s="142"/>
      <c r="I16" s="4"/>
      <c r="J16" s="4"/>
    </row>
    <row r="17" spans="1:10" x14ac:dyDescent="0.2">
      <c r="A17" s="35"/>
      <c r="B17" s="32"/>
      <c r="C17" s="6"/>
      <c r="D17" s="139"/>
      <c r="E17" s="143"/>
      <c r="F17" s="141"/>
      <c r="G17" s="142"/>
      <c r="I17" s="4"/>
      <c r="J17" s="4"/>
    </row>
    <row r="18" spans="1:10" x14ac:dyDescent="0.2">
      <c r="A18" s="35"/>
      <c r="B18" s="32" t="s">
        <v>286</v>
      </c>
      <c r="C18" s="6"/>
      <c r="D18" s="139">
        <f>'Forudsætninger - bedrift'!E67*'Standard værdier'!E18</f>
        <v>0</v>
      </c>
      <c r="E18" s="143">
        <f>+'Forudsætninger - bedrift'!G109/'Standard værdier'!F18</f>
        <v>1</v>
      </c>
      <c r="F18" s="141">
        <f>D18/'Forudsætninger - bedrift'!E109*'Standard værdier'!F18</f>
        <v>0</v>
      </c>
      <c r="G18" s="142"/>
      <c r="I18" s="4"/>
      <c r="J18" s="4"/>
    </row>
    <row r="19" spans="1:10" x14ac:dyDescent="0.2">
      <c r="A19" s="35"/>
      <c r="B19" s="32" t="s">
        <v>285</v>
      </c>
      <c r="C19" s="6"/>
      <c r="D19" s="139">
        <f>'Forudsætninger - bedrift'!E68*'Standard værdier'!E19</f>
        <v>0</v>
      </c>
      <c r="E19" s="143">
        <f>+'Forudsætninger - bedrift'!G110/'Standard værdier'!F19</f>
        <v>0.83333333333333337</v>
      </c>
      <c r="F19" s="141">
        <f>D19/'Forudsætninger - bedrift'!E110*'Standard værdier'!F19</f>
        <v>0</v>
      </c>
      <c r="G19" s="142"/>
      <c r="I19" s="4"/>
      <c r="J19" s="4"/>
    </row>
    <row r="20" spans="1:10" x14ac:dyDescent="0.2">
      <c r="A20" s="35"/>
      <c r="B20" s="32" t="s">
        <v>287</v>
      </c>
      <c r="C20" s="6"/>
      <c r="D20" s="139">
        <f>'Forudsætninger - bedrift'!E69*'Standard værdier'!E20</f>
        <v>0</v>
      </c>
      <c r="E20" s="143">
        <f>+'Forudsætninger - bedrift'!G111/'Standard værdier'!F20</f>
        <v>1</v>
      </c>
      <c r="F20" s="141">
        <f>D20/'Forudsætninger - bedrift'!E111*'Standard værdier'!F20</f>
        <v>0</v>
      </c>
      <c r="G20" s="142"/>
      <c r="I20" s="4"/>
      <c r="J20" s="4"/>
    </row>
    <row r="21" spans="1:10" x14ac:dyDescent="0.2">
      <c r="A21" s="35"/>
      <c r="B21" s="32" t="s">
        <v>288</v>
      </c>
      <c r="C21" s="6"/>
      <c r="D21" s="139">
        <f>'Forudsætninger - bedrift'!E70*'Standard værdier'!E21</f>
        <v>0</v>
      </c>
      <c r="E21" s="143">
        <f>+'Forudsætninger - bedrift'!G112/'Standard værdier'!F21</f>
        <v>1</v>
      </c>
      <c r="F21" s="141">
        <f>D21/'Forudsætninger - bedrift'!E112*'Standard værdier'!F21</f>
        <v>0</v>
      </c>
      <c r="G21" s="142"/>
      <c r="I21" s="4"/>
      <c r="J21" s="4"/>
    </row>
    <row r="22" spans="1:10" x14ac:dyDescent="0.2">
      <c r="A22" s="35"/>
      <c r="B22" s="32" t="s">
        <v>289</v>
      </c>
      <c r="C22" s="6"/>
      <c r="D22" s="139">
        <f>'Forudsætninger - bedrift'!E71*'Standard værdier'!E22</f>
        <v>0</v>
      </c>
      <c r="E22" s="143">
        <f>+'Forudsætninger - bedrift'!G113/'Standard værdier'!F22</f>
        <v>1</v>
      </c>
      <c r="F22" s="141">
        <f>D22/'Forudsætninger - bedrift'!E113*'Standard værdier'!F22</f>
        <v>0</v>
      </c>
      <c r="G22" s="142"/>
      <c r="I22" s="4"/>
      <c r="J22" s="4"/>
    </row>
    <row r="23" spans="1:10" x14ac:dyDescent="0.2">
      <c r="A23" s="35"/>
      <c r="B23" s="32" t="s">
        <v>290</v>
      </c>
      <c r="C23" s="6"/>
      <c r="D23" s="139">
        <f>'Forudsætninger - bedrift'!E72*'Standard værdier'!E23</f>
        <v>0</v>
      </c>
      <c r="E23" s="143">
        <f>+'Forudsætninger - bedrift'!G114/'Standard værdier'!F23</f>
        <v>1</v>
      </c>
      <c r="F23" s="141">
        <f>D23/'Forudsætninger - bedrift'!E114*'Standard værdier'!F23</f>
        <v>0</v>
      </c>
      <c r="G23" s="142"/>
      <c r="I23" s="4"/>
      <c r="J23" s="4"/>
    </row>
    <row r="24" spans="1:10" x14ac:dyDescent="0.2">
      <c r="A24" s="35"/>
      <c r="B24" s="33" t="s">
        <v>291</v>
      </c>
      <c r="C24" s="6"/>
      <c r="D24" s="139">
        <f>'Forudsætninger - bedrift'!E73*'Standard værdier'!E24</f>
        <v>0</v>
      </c>
      <c r="E24" s="143">
        <f>+'Forudsætninger - bedrift'!G115/'Standard værdier'!F24</f>
        <v>1</v>
      </c>
      <c r="F24" s="141">
        <f>D24/'Forudsætninger - bedrift'!E115*'Standard værdier'!F24</f>
        <v>0</v>
      </c>
      <c r="G24" s="142"/>
      <c r="I24" s="4"/>
      <c r="J24" s="4"/>
    </row>
    <row r="25" spans="1:10" x14ac:dyDescent="0.2">
      <c r="A25" s="38"/>
      <c r="B25" s="39" t="s">
        <v>110</v>
      </c>
      <c r="C25" s="39"/>
      <c r="D25" s="56">
        <f>SUM(D11:D24)</f>
        <v>5299.2</v>
      </c>
      <c r="E25" s="144"/>
      <c r="F25" s="145">
        <f>SUM(F11:F24)</f>
        <v>6423.2727272727261</v>
      </c>
      <c r="G25" s="146"/>
      <c r="I25" s="4"/>
      <c r="J25" s="4"/>
    </row>
    <row r="26" spans="1:10" x14ac:dyDescent="0.2">
      <c r="A26" s="149"/>
      <c r="B26" s="150"/>
      <c r="C26" s="150"/>
      <c r="D26" s="149"/>
      <c r="E26" s="150"/>
      <c r="F26" s="150"/>
      <c r="G26" s="151"/>
      <c r="I26" s="4"/>
      <c r="J26" s="4"/>
    </row>
    <row r="27" spans="1:10" x14ac:dyDescent="0.2">
      <c r="A27" s="35"/>
      <c r="B27" s="32" t="s">
        <v>46</v>
      </c>
      <c r="C27" s="6"/>
      <c r="D27" s="139"/>
      <c r="E27" s="143"/>
      <c r="F27" s="282">
        <f>'Forudsætninger - bedrift'!E80</f>
        <v>1.4</v>
      </c>
      <c r="G27" s="142"/>
      <c r="I27" s="4"/>
      <c r="J27" s="4"/>
    </row>
    <row r="28" spans="1:10" x14ac:dyDescent="0.2">
      <c r="A28" s="46"/>
      <c r="B28" s="33" t="s">
        <v>45</v>
      </c>
      <c r="C28" s="9"/>
      <c r="D28" s="152"/>
      <c r="E28" s="153"/>
      <c r="F28" s="154">
        <f>'Beregninger uden'!H69</f>
        <v>74.999999999999986</v>
      </c>
      <c r="G28" s="155"/>
      <c r="I28" s="4"/>
      <c r="J28" s="4"/>
    </row>
    <row r="31" spans="1:10" s="1" customFormat="1" ht="15" x14ac:dyDescent="0.2">
      <c r="A31" s="42" t="s">
        <v>111</v>
      </c>
      <c r="B31" s="27"/>
      <c r="C31" s="27"/>
      <c r="D31" s="332"/>
      <c r="E31" s="334"/>
      <c r="F31" s="334"/>
      <c r="G31" s="333"/>
    </row>
    <row r="32" spans="1:10" s="1" customFormat="1" ht="15" x14ac:dyDescent="0.2">
      <c r="A32" s="44"/>
      <c r="B32" s="13"/>
      <c r="C32" s="13"/>
      <c r="D32" s="82" t="s">
        <v>54</v>
      </c>
      <c r="E32" s="84" t="s">
        <v>53</v>
      </c>
      <c r="F32" s="84" t="s">
        <v>41</v>
      </c>
      <c r="G32" s="75" t="s">
        <v>40</v>
      </c>
    </row>
    <row r="33" spans="1:10" x14ac:dyDescent="0.2">
      <c r="A33" s="47"/>
      <c r="B33" s="45"/>
      <c r="C33" s="150"/>
      <c r="D33" s="159"/>
      <c r="E33" s="160"/>
      <c r="F33" s="161"/>
      <c r="G33" s="162"/>
      <c r="I33" s="4"/>
      <c r="J33" s="4"/>
    </row>
    <row r="34" spans="1:10" x14ac:dyDescent="0.2">
      <c r="A34" s="35"/>
      <c r="B34" s="32" t="s">
        <v>333</v>
      </c>
      <c r="C34" s="6"/>
      <c r="D34" s="156">
        <f>'Standard værdier'!E30/'Standard værdier'!F11*'Forudsætninger - bedrift'!E102</f>
        <v>5.3800000000000008</v>
      </c>
      <c r="E34" s="157">
        <f>'Standard værdier'!F30/'Standard værdier'!F11*'Forudsætninger - bedrift'!E102</f>
        <v>2.27</v>
      </c>
      <c r="F34" s="147">
        <f>'Standard værdier'!G30/'Standard værdier'!F11*'Forudsætninger - bedrift'!E102</f>
        <v>0.83</v>
      </c>
      <c r="G34" s="158">
        <f>'Standard værdier'!H30/'Standard værdier'!F11*'Forudsætninger - bedrift'!E102</f>
        <v>4.22</v>
      </c>
      <c r="I34" s="4"/>
      <c r="J34" s="4"/>
    </row>
    <row r="35" spans="1:10" x14ac:dyDescent="0.2">
      <c r="A35" s="35"/>
      <c r="B35" s="32" t="s">
        <v>12</v>
      </c>
      <c r="C35" s="6"/>
      <c r="D35" s="156">
        <f>'Standard værdier'!E31/'Standard værdier'!F12*'Forudsætninger - bedrift'!E103</f>
        <v>7.52</v>
      </c>
      <c r="E35" s="157">
        <f>'Standard værdier'!F31/'Standard værdier'!F12*'Forudsætninger - bedrift'!E103</f>
        <v>4.6500000000000004</v>
      </c>
      <c r="F35" s="147">
        <f>'Standard værdier'!G31/'Standard værdier'!F12*'Forudsætninger - bedrift'!E103</f>
        <v>1.3</v>
      </c>
      <c r="G35" s="158">
        <f>'Standard værdier'!H31/'Standard værdier'!F12*'Forudsætninger - bedrift'!E103</f>
        <v>4.45</v>
      </c>
      <c r="I35" s="4"/>
      <c r="J35" s="4"/>
    </row>
    <row r="36" spans="1:10" x14ac:dyDescent="0.2">
      <c r="A36" s="35"/>
      <c r="B36" s="32" t="s">
        <v>5</v>
      </c>
      <c r="C36" s="6"/>
      <c r="D36" s="156">
        <f>'Standard værdier'!E32/'Standard værdier'!F13*'Forudsætninger - bedrift'!E104</f>
        <v>3.88</v>
      </c>
      <c r="E36" s="157">
        <f>'Standard værdier'!F32/'Standard værdier'!F13*'Forudsætninger - bedrift'!E104</f>
        <v>2.76</v>
      </c>
      <c r="F36" s="147">
        <f>'Standard værdier'!G32/'Standard værdier'!F13*'Forudsætninger - bedrift'!E104</f>
        <v>0.96</v>
      </c>
      <c r="G36" s="158">
        <f>'Standard værdier'!H32/'Standard værdier'!F13*'Forudsætninger - bedrift'!E104</f>
        <v>1.74</v>
      </c>
      <c r="I36" s="4"/>
      <c r="J36" s="4"/>
    </row>
    <row r="37" spans="1:10" x14ac:dyDescent="0.2">
      <c r="A37" s="35"/>
      <c r="B37" s="32" t="s">
        <v>13</v>
      </c>
      <c r="C37" s="6"/>
      <c r="D37" s="156">
        <f>'Standard værdier'!E33/'Standard værdier'!F14*'Forudsætninger - bedrift'!E105</f>
        <v>3.14</v>
      </c>
      <c r="E37" s="157">
        <f>'Standard værdier'!F33/'Standard værdier'!F14*'Forudsætninger - bedrift'!E105</f>
        <v>1.63</v>
      </c>
      <c r="F37" s="147">
        <f>'Standard værdier'!G33/'Standard værdier'!F14*'Forudsætninger - bedrift'!E105</f>
        <v>1.02</v>
      </c>
      <c r="G37" s="158">
        <f>'Standard værdier'!H33/'Standard værdier'!F14*'Forudsætninger - bedrift'!E105</f>
        <v>2.14</v>
      </c>
      <c r="I37" s="4"/>
      <c r="J37" s="4"/>
    </row>
    <row r="38" spans="1:10" x14ac:dyDescent="0.2">
      <c r="A38" s="35"/>
      <c r="B38" s="32" t="s">
        <v>50</v>
      </c>
      <c r="C38" s="6"/>
      <c r="D38" s="156">
        <f>'Standard værdier'!E34/'Standard værdier'!F15*'Forudsætninger - bedrift'!E106</f>
        <v>4.4055</v>
      </c>
      <c r="E38" s="157">
        <f>'Standard værdier'!F34/'Standard værdier'!F15*'Forudsætninger - bedrift'!E106</f>
        <v>2.7472500000000002</v>
      </c>
      <c r="F38" s="147">
        <f>'Standard værdier'!G34/'Standard værdier'!F15*'Forudsætninger - bedrift'!E106</f>
        <v>0.98175000000000001</v>
      </c>
      <c r="G38" s="158">
        <f>'Standard værdier'!H34/'Standard værdier'!F15*'Forudsætninger - bedrift'!E106</f>
        <v>2.3017500000000002</v>
      </c>
      <c r="I38" s="4"/>
      <c r="J38" s="4"/>
    </row>
    <row r="39" spans="1:10" x14ac:dyDescent="0.2">
      <c r="A39" s="35"/>
      <c r="B39" s="32" t="s">
        <v>3</v>
      </c>
      <c r="C39" s="6"/>
      <c r="D39" s="156">
        <f>'Standard værdier'!E35/'Standard værdier'!F16*'Forudsætninger - bedrift'!E107</f>
        <v>0.12306122448979591</v>
      </c>
      <c r="E39" s="157">
        <f>'Standard værdier'!F35/'Standard værdier'!F16*'Forudsætninger - bedrift'!E107</f>
        <v>7.3673469387755097E-2</v>
      </c>
      <c r="F39" s="147">
        <f>'Standard værdier'!G35/'Standard værdier'!F16*'Forudsætninger - bedrift'!E107</f>
        <v>3.0816326530612243E-2</v>
      </c>
      <c r="G39" s="158">
        <f>'Standard værdier'!H35/'Standard værdier'!F16*'Forudsætninger - bedrift'!E107</f>
        <v>1.9183673469387753E-2</v>
      </c>
      <c r="I39" s="4"/>
      <c r="J39" s="4"/>
    </row>
    <row r="40" spans="1:10" x14ac:dyDescent="0.2">
      <c r="A40" s="35"/>
      <c r="B40" s="32"/>
      <c r="C40" s="6"/>
      <c r="D40" s="156"/>
      <c r="E40" s="157"/>
      <c r="F40" s="147"/>
      <c r="G40" s="158"/>
      <c r="I40" s="4"/>
      <c r="J40" s="4"/>
    </row>
    <row r="41" spans="1:10" x14ac:dyDescent="0.2">
      <c r="A41" s="35"/>
      <c r="B41" s="32" t="s">
        <v>286</v>
      </c>
      <c r="C41" s="6"/>
      <c r="D41" s="156">
        <f>'Standard værdier'!E37/'Standard værdier'!F18*'Forudsætninger - bedrift'!E109</f>
        <v>9.4499999999999993</v>
      </c>
      <c r="E41" s="157">
        <f>'Standard værdier'!F37/'Standard værdier'!F18*'Forudsætninger - bedrift'!E109</f>
        <v>1.8900000000000001</v>
      </c>
      <c r="F41" s="147">
        <f>'Standard værdier'!G37/'Standard værdier'!F18*'Forudsætninger - bedrift'!E109</f>
        <v>1.46</v>
      </c>
      <c r="G41" s="158">
        <f>'Standard værdier'!H37/'Standard værdier'!F18*'Forudsætninger - bedrift'!E109</f>
        <v>10.07</v>
      </c>
      <c r="I41" s="4"/>
      <c r="J41" s="4"/>
    </row>
    <row r="42" spans="1:10" x14ac:dyDescent="0.2">
      <c r="A42" s="35"/>
      <c r="B42" s="32" t="s">
        <v>285</v>
      </c>
      <c r="C42" s="6"/>
      <c r="D42" s="156">
        <f>'Standard værdier'!E38/'Standard værdier'!F19*'Forudsætninger - bedrift'!E110</f>
        <v>10.549999999999999</v>
      </c>
      <c r="E42" s="157">
        <f>'Standard værdier'!F38/'Standard værdier'!F19*'Forudsætninger - bedrift'!E110</f>
        <v>2.1083333333333334</v>
      </c>
      <c r="F42" s="147">
        <f>'Standard værdier'!G38/'Standard værdier'!F19*'Forudsætninger - bedrift'!E110</f>
        <v>1.1333333333333333</v>
      </c>
      <c r="G42" s="158">
        <f>'Standard værdier'!H38/'Standard værdier'!F19*'Forudsætninger - bedrift'!E110</f>
        <v>13.25</v>
      </c>
      <c r="I42" s="4"/>
      <c r="J42" s="4"/>
    </row>
    <row r="43" spans="1:10" x14ac:dyDescent="0.2">
      <c r="A43" s="35"/>
      <c r="B43" s="32" t="s">
        <v>287</v>
      </c>
      <c r="C43" s="32" t="s">
        <v>334</v>
      </c>
      <c r="D43" s="156">
        <f>'Standard værdier'!E39/'Standard værdier'!F20*'Forudsætninger - bedrift'!E111</f>
        <v>11.16</v>
      </c>
      <c r="E43" s="157">
        <f>'Standard værdier'!F39/'Standard værdier'!F20*'Forudsætninger - bedrift'!E111</f>
        <v>2.79</v>
      </c>
      <c r="F43" s="147">
        <f>'Standard værdier'!G39/'Standard værdier'!F20*'Forudsætninger - bedrift'!E111</f>
        <v>3.55</v>
      </c>
      <c r="G43" s="158">
        <f>'Standard værdier'!H39/'Standard værdier'!F20*'Forudsætninger - bedrift'!E111</f>
        <v>12.88</v>
      </c>
      <c r="I43" s="4"/>
      <c r="J43" s="4"/>
    </row>
    <row r="44" spans="1:10" x14ac:dyDescent="0.2">
      <c r="A44" s="35"/>
      <c r="B44" s="32" t="s">
        <v>288</v>
      </c>
      <c r="C44" s="6"/>
      <c r="D44" s="156">
        <f>'Standard værdier'!E40/'Standard værdier'!F21*'Forudsætninger - bedrift'!E112</f>
        <v>9.09</v>
      </c>
      <c r="E44" s="157">
        <f>'Standard værdier'!F40/'Standard værdier'!F21*'Forudsætninger - bedrift'!E112</f>
        <v>4.38</v>
      </c>
      <c r="F44" s="147">
        <f>'Standard værdier'!G40/'Standard værdier'!F21*'Forudsætninger - bedrift'!E112</f>
        <v>2.95</v>
      </c>
      <c r="G44" s="158">
        <f>'Standard værdier'!H40/'Standard værdier'!F21*'Forudsætninger - bedrift'!E112</f>
        <v>1.83</v>
      </c>
      <c r="I44" s="4"/>
      <c r="J44" s="4"/>
    </row>
    <row r="45" spans="1:10" x14ac:dyDescent="0.2">
      <c r="A45" s="35"/>
      <c r="B45" s="32" t="s">
        <v>289</v>
      </c>
      <c r="C45" s="6"/>
      <c r="D45" s="156">
        <f>'Standard værdier'!E41/'Standard værdier'!F22*'Forudsætninger - bedrift'!E113</f>
        <v>21.86</v>
      </c>
      <c r="E45" s="157">
        <f>'Standard værdier'!F41/'Standard værdier'!F22*'Forudsætninger - bedrift'!E113</f>
        <v>6.56</v>
      </c>
      <c r="F45" s="147">
        <f>'Standard værdier'!G41/'Standard værdier'!F22*'Forudsætninger - bedrift'!E113</f>
        <v>8</v>
      </c>
      <c r="G45" s="158">
        <f>'Standard værdier'!H41/'Standard værdier'!F22*'Forudsætninger - bedrift'!E113</f>
        <v>14.39</v>
      </c>
      <c r="I45" s="4"/>
      <c r="J45" s="4"/>
    </row>
    <row r="46" spans="1:10" x14ac:dyDescent="0.2">
      <c r="A46" s="35"/>
      <c r="B46" s="32" t="s">
        <v>290</v>
      </c>
      <c r="C46" s="6"/>
      <c r="D46" s="156">
        <f>'Standard værdier'!E42/'Standard værdier'!F23*'Forudsætninger - bedrift'!E114</f>
        <v>18.440000000000001</v>
      </c>
      <c r="E46" s="157">
        <f>'Standard værdier'!F42/'Standard værdier'!F23*'Forudsætninger - bedrift'!E114</f>
        <v>6.45</v>
      </c>
      <c r="F46" s="147">
        <f>'Standard værdier'!G42/'Standard værdier'!F23*'Forudsætninger - bedrift'!E114</f>
        <v>5.58</v>
      </c>
      <c r="G46" s="158">
        <f>'Standard værdier'!H42/'Standard værdier'!F23*'Forudsætninger - bedrift'!E114</f>
        <v>9.15</v>
      </c>
      <c r="I46" s="4"/>
      <c r="J46" s="4"/>
    </row>
    <row r="47" spans="1:10" x14ac:dyDescent="0.2">
      <c r="A47" s="46"/>
      <c r="B47" s="33" t="s">
        <v>291</v>
      </c>
      <c r="C47" s="9"/>
      <c r="D47" s="163">
        <f>'Standard værdier'!E43/'Standard værdier'!F24*'Forudsætninger - bedrift'!E115</f>
        <v>8.52</v>
      </c>
      <c r="E47" s="164">
        <f>'Standard værdier'!F43/'Standard værdier'!F24*'Forudsætninger - bedrift'!E115</f>
        <v>2.13</v>
      </c>
      <c r="F47" s="165">
        <f>'Standard værdier'!G43/'Standard værdier'!F24*'Forudsætninger - bedrift'!E115</f>
        <v>1.76</v>
      </c>
      <c r="G47" s="166">
        <f>'Standard værdier'!H43/'Standard værdier'!F24*'Forudsætninger - bedrift'!E115</f>
        <v>13.420000000000002</v>
      </c>
      <c r="I47" s="4"/>
      <c r="J47" s="4"/>
    </row>
    <row r="50" spans="1:11" s="1" customFormat="1" ht="15" x14ac:dyDescent="0.2">
      <c r="A50" s="42" t="s">
        <v>112</v>
      </c>
      <c r="B50" s="27"/>
      <c r="C50" s="27"/>
      <c r="D50" s="66"/>
      <c r="E50" s="107"/>
      <c r="F50" s="107"/>
      <c r="G50" s="107"/>
      <c r="H50" s="167"/>
    </row>
    <row r="51" spans="1:11" s="1" customFormat="1" ht="38.25" x14ac:dyDescent="0.2">
      <c r="A51" s="43" t="s">
        <v>335</v>
      </c>
      <c r="B51" s="13"/>
      <c r="C51" s="13"/>
      <c r="D51" s="82" t="s">
        <v>54</v>
      </c>
      <c r="E51" s="84" t="s">
        <v>53</v>
      </c>
      <c r="F51" s="84" t="s">
        <v>41</v>
      </c>
      <c r="G51" s="84" t="s">
        <v>40</v>
      </c>
      <c r="H51" s="168" t="s">
        <v>113</v>
      </c>
    </row>
    <row r="52" spans="1:11" x14ac:dyDescent="0.2">
      <c r="A52" s="47"/>
      <c r="B52" s="45"/>
      <c r="C52" s="150"/>
      <c r="D52" s="149"/>
      <c r="E52" s="160"/>
      <c r="F52" s="160"/>
      <c r="G52" s="162"/>
      <c r="H52" s="170"/>
      <c r="I52" s="4"/>
      <c r="J52" s="4"/>
      <c r="K52" s="4"/>
    </row>
    <row r="53" spans="1:11" x14ac:dyDescent="0.2">
      <c r="A53" s="35"/>
      <c r="B53" s="32" t="s">
        <v>4</v>
      </c>
      <c r="C53" s="6"/>
      <c r="D53" s="169">
        <f>'Beregninger uden'!F11*'Beregninger uden'!D34</f>
        <v>0</v>
      </c>
      <c r="E53" s="140">
        <f>'Beregninger uden'!F11*'Beregninger uden'!E34</f>
        <v>0</v>
      </c>
      <c r="F53" s="140">
        <f>'Beregninger uden'!F11*'Beregninger uden'!F34</f>
        <v>0</v>
      </c>
      <c r="G53" s="142">
        <f>'Beregninger uden'!F11*'Beregninger uden'!G34</f>
        <v>0</v>
      </c>
      <c r="H53" s="171">
        <f>D53/100*'Forudsætninger - bedrift'!F60</f>
        <v>0</v>
      </c>
      <c r="I53" s="4"/>
      <c r="J53" s="4"/>
      <c r="K53" s="4"/>
    </row>
    <row r="54" spans="1:11" x14ac:dyDescent="0.2">
      <c r="A54" s="35"/>
      <c r="B54" s="32" t="s">
        <v>12</v>
      </c>
      <c r="C54" s="6"/>
      <c r="D54" s="169">
        <f>'Beregninger uden'!F12*'Beregninger uden'!D35</f>
        <v>0</v>
      </c>
      <c r="E54" s="140">
        <f>'Beregninger uden'!F12*'Beregninger uden'!E35</f>
        <v>0</v>
      </c>
      <c r="F54" s="140">
        <f>'Beregninger uden'!F12*'Beregninger uden'!F35</f>
        <v>0</v>
      </c>
      <c r="G54" s="142">
        <f>'Beregninger uden'!F12*'Beregninger uden'!G35</f>
        <v>0</v>
      </c>
      <c r="H54" s="171">
        <f>D54/100*'Forudsætninger - bedrift'!F61</f>
        <v>0</v>
      </c>
      <c r="I54" s="4"/>
      <c r="J54" s="4"/>
      <c r="K54" s="4"/>
    </row>
    <row r="55" spans="1:11" x14ac:dyDescent="0.2">
      <c r="A55" s="35"/>
      <c r="B55" s="32" t="s">
        <v>5</v>
      </c>
      <c r="C55" s="6"/>
      <c r="D55" s="169">
        <f>'Beregninger uden'!F13*'Beregninger uden'!D36</f>
        <v>0</v>
      </c>
      <c r="E55" s="140">
        <f>'Beregninger uden'!F13*'Beregninger uden'!E36</f>
        <v>0</v>
      </c>
      <c r="F55" s="140">
        <f>'Beregninger uden'!F13*'Beregninger uden'!F36</f>
        <v>0</v>
      </c>
      <c r="G55" s="142">
        <f>'Beregninger uden'!F13*'Beregninger uden'!G36</f>
        <v>0</v>
      </c>
      <c r="H55" s="171">
        <f>D55/100*'Forudsætninger - bedrift'!F62</f>
        <v>0</v>
      </c>
      <c r="I55" s="4"/>
      <c r="J55" s="4"/>
      <c r="K55" s="4"/>
    </row>
    <row r="56" spans="1:11" x14ac:dyDescent="0.2">
      <c r="A56" s="35"/>
      <c r="B56" s="32" t="s">
        <v>13</v>
      </c>
      <c r="C56" s="6"/>
      <c r="D56" s="169">
        <f>'Beregninger uden'!F14*'Beregninger uden'!D37</f>
        <v>0</v>
      </c>
      <c r="E56" s="140">
        <f>'Beregninger uden'!F14*'Beregninger uden'!E37</f>
        <v>0</v>
      </c>
      <c r="F56" s="140">
        <f>'Beregninger uden'!F14*'Beregninger uden'!F37</f>
        <v>0</v>
      </c>
      <c r="G56" s="142">
        <f>'Beregninger uden'!F14*'Beregninger uden'!G37</f>
        <v>0</v>
      </c>
      <c r="H56" s="171">
        <f>D56/100*'Forudsætninger - bedrift'!F63</f>
        <v>0</v>
      </c>
      <c r="I56" s="4"/>
      <c r="J56" s="4"/>
      <c r="K56" s="4"/>
    </row>
    <row r="57" spans="1:11" x14ac:dyDescent="0.2">
      <c r="A57" s="35"/>
      <c r="B57" s="32" t="s">
        <v>50</v>
      </c>
      <c r="C57" s="6"/>
      <c r="D57" s="169">
        <f>'Beregninger uden'!F15*'Beregninger uden'!D38</f>
        <v>28297.727999999996</v>
      </c>
      <c r="E57" s="140">
        <f>'Beregninger uden'!F15*'Beregninger uden'!E38</f>
        <v>17646.335999999999</v>
      </c>
      <c r="F57" s="140">
        <f>'Beregninger uden'!F15*'Beregninger uden'!F38</f>
        <v>6306.0479999999989</v>
      </c>
      <c r="G57" s="142">
        <f>'Beregninger uden'!F15*'Beregninger uden'!G38</f>
        <v>14784.767999999998</v>
      </c>
      <c r="H57" s="171">
        <f>D57/100*'Forudsætninger - bedrift'!F64</f>
        <v>21223.295999999995</v>
      </c>
      <c r="I57" s="4"/>
      <c r="J57" s="4"/>
      <c r="K57" s="4"/>
    </row>
    <row r="58" spans="1:11" x14ac:dyDescent="0.2">
      <c r="A58" s="35"/>
      <c r="B58" s="32" t="s">
        <v>3</v>
      </c>
      <c r="C58" s="6"/>
      <c r="D58" s="169">
        <f>'Beregninger uden'!F16*'Beregninger uden'!D39</f>
        <v>0</v>
      </c>
      <c r="E58" s="140">
        <f>'Beregninger uden'!F16*'Beregninger uden'!E39</f>
        <v>0</v>
      </c>
      <c r="F58" s="140">
        <f>'Beregninger uden'!F16*'Beregninger uden'!F39</f>
        <v>0</v>
      </c>
      <c r="G58" s="142">
        <f>'Beregninger uden'!F16*'Beregninger uden'!G39</f>
        <v>0</v>
      </c>
      <c r="H58" s="171">
        <f>D58/100*'Forudsætninger - bedrift'!F65</f>
        <v>0</v>
      </c>
      <c r="I58" s="4"/>
      <c r="J58" s="4"/>
      <c r="K58" s="4"/>
    </row>
    <row r="59" spans="1:11" x14ac:dyDescent="0.2">
      <c r="A59" s="35"/>
      <c r="B59" s="32"/>
      <c r="C59" s="6"/>
      <c r="D59" s="169"/>
      <c r="E59" s="140"/>
      <c r="F59" s="140"/>
      <c r="G59" s="142"/>
      <c r="H59" s="171"/>
      <c r="I59" s="4"/>
      <c r="J59" s="4"/>
      <c r="K59" s="4"/>
    </row>
    <row r="60" spans="1:11" x14ac:dyDescent="0.2">
      <c r="A60" s="35"/>
      <c r="B60" s="32" t="s">
        <v>286</v>
      </c>
      <c r="C60" s="6"/>
      <c r="D60" s="169">
        <f>'Beregninger uden'!F18*'Beregninger uden'!D41</f>
        <v>0</v>
      </c>
      <c r="E60" s="140">
        <f>'Beregninger uden'!F18*'Beregninger uden'!E41</f>
        <v>0</v>
      </c>
      <c r="F60" s="140">
        <f>'Beregninger uden'!F18*'Beregninger uden'!F41</f>
        <v>0</v>
      </c>
      <c r="G60" s="142">
        <f>'Beregninger uden'!F18*'Beregninger uden'!G41</f>
        <v>0</v>
      </c>
      <c r="H60" s="171">
        <f>D60/100*'Forudsætninger - bedrift'!F67</f>
        <v>0</v>
      </c>
      <c r="I60" s="4"/>
      <c r="J60" s="4"/>
      <c r="K60" s="4"/>
    </row>
    <row r="61" spans="1:11" x14ac:dyDescent="0.2">
      <c r="A61" s="35"/>
      <c r="B61" s="32" t="s">
        <v>285</v>
      </c>
      <c r="C61" s="6"/>
      <c r="D61" s="169">
        <f>'Beregninger uden'!F19*'Beregninger uden'!D42</f>
        <v>0</v>
      </c>
      <c r="E61" s="140">
        <f>'Beregninger uden'!F19*'Beregninger uden'!E42</f>
        <v>0</v>
      </c>
      <c r="F61" s="140">
        <f>'Beregninger uden'!F19*'Beregninger uden'!F42</f>
        <v>0</v>
      </c>
      <c r="G61" s="142">
        <f>'Beregninger uden'!F19*'Beregninger uden'!G42</f>
        <v>0</v>
      </c>
      <c r="H61" s="171">
        <f>D61/100*'Forudsætninger - bedrift'!F68</f>
        <v>0</v>
      </c>
      <c r="I61" s="4"/>
      <c r="J61" s="4"/>
      <c r="K61" s="4"/>
    </row>
    <row r="62" spans="1:11" x14ac:dyDescent="0.2">
      <c r="A62" s="35"/>
      <c r="B62" s="32" t="s">
        <v>287</v>
      </c>
      <c r="C62" s="6"/>
      <c r="D62" s="169">
        <f>'Beregninger uden'!F20*'Beregninger uden'!D43</f>
        <v>0</v>
      </c>
      <c r="E62" s="140">
        <f>'Beregninger uden'!F20*'Beregninger uden'!E43</f>
        <v>0</v>
      </c>
      <c r="F62" s="140">
        <f>'Beregninger uden'!F20*'Beregninger uden'!F43</f>
        <v>0</v>
      </c>
      <c r="G62" s="142">
        <f>'Beregninger uden'!F20*'Beregninger uden'!G43</f>
        <v>0</v>
      </c>
      <c r="H62" s="171">
        <f>D62/100*'Forudsætninger - bedrift'!F69</f>
        <v>0</v>
      </c>
      <c r="I62" s="4"/>
      <c r="J62" s="4"/>
      <c r="K62" s="4"/>
    </row>
    <row r="63" spans="1:11" x14ac:dyDescent="0.2">
      <c r="A63" s="35"/>
      <c r="B63" s="32" t="s">
        <v>288</v>
      </c>
      <c r="C63" s="6"/>
      <c r="D63" s="169">
        <f>'Beregninger uden'!F21*'Beregninger uden'!D44</f>
        <v>0</v>
      </c>
      <c r="E63" s="140">
        <f>'Beregninger uden'!F21*'Beregninger uden'!E44</f>
        <v>0</v>
      </c>
      <c r="F63" s="140">
        <f>'Beregninger uden'!F21*'Beregninger uden'!F44</f>
        <v>0</v>
      </c>
      <c r="G63" s="142">
        <f>'Beregninger uden'!F21*'Beregninger uden'!G44</f>
        <v>0</v>
      </c>
      <c r="H63" s="171">
        <f>D63/100*'Forudsætninger - bedrift'!F70</f>
        <v>0</v>
      </c>
      <c r="I63" s="4"/>
      <c r="J63" s="4"/>
      <c r="K63" s="4"/>
    </row>
    <row r="64" spans="1:11" x14ac:dyDescent="0.2">
      <c r="A64" s="35"/>
      <c r="B64" s="32" t="s">
        <v>289</v>
      </c>
      <c r="C64" s="6"/>
      <c r="D64" s="169">
        <f>'Beregninger uden'!F22*'Beregninger uden'!D45</f>
        <v>0</v>
      </c>
      <c r="E64" s="140">
        <f>'Beregninger uden'!F22*'Beregninger uden'!E45</f>
        <v>0</v>
      </c>
      <c r="F64" s="140">
        <f>'Beregninger uden'!F22*'Beregninger uden'!F45</f>
        <v>0</v>
      </c>
      <c r="G64" s="142">
        <f>'Beregninger uden'!F22*'Beregninger uden'!G45</f>
        <v>0</v>
      </c>
      <c r="H64" s="171">
        <f>D64/100*'Forudsætninger - bedrift'!F71</f>
        <v>0</v>
      </c>
      <c r="I64" s="4"/>
      <c r="J64" s="4"/>
      <c r="K64" s="4"/>
    </row>
    <row r="65" spans="1:11" x14ac:dyDescent="0.2">
      <c r="A65" s="35"/>
      <c r="B65" s="32" t="s">
        <v>290</v>
      </c>
      <c r="C65" s="6"/>
      <c r="D65" s="169">
        <f>'Beregninger uden'!F23*'Beregninger uden'!D46</f>
        <v>0</v>
      </c>
      <c r="E65" s="140">
        <f>'Beregninger uden'!F23*'Beregninger uden'!E46</f>
        <v>0</v>
      </c>
      <c r="F65" s="140">
        <f>'Beregninger uden'!F23*'Beregninger uden'!F46</f>
        <v>0</v>
      </c>
      <c r="G65" s="142">
        <f>'Beregninger uden'!F23*'Beregninger uden'!G46</f>
        <v>0</v>
      </c>
      <c r="H65" s="171">
        <f>D65/100*'Forudsætninger - bedrift'!F72</f>
        <v>0</v>
      </c>
      <c r="I65" s="4"/>
      <c r="J65" s="4"/>
      <c r="K65" s="4"/>
    </row>
    <row r="66" spans="1:11" x14ac:dyDescent="0.2">
      <c r="A66" s="35"/>
      <c r="B66" s="33" t="s">
        <v>291</v>
      </c>
      <c r="C66" s="9"/>
      <c r="D66" s="169">
        <f>'Beregninger uden'!F24*'Beregninger uden'!D47</f>
        <v>0</v>
      </c>
      <c r="E66" s="140">
        <f>'Beregninger uden'!F24*'Beregninger uden'!E47</f>
        <v>0</v>
      </c>
      <c r="F66" s="140">
        <f>'Beregninger uden'!F24*'Beregninger uden'!F47</f>
        <v>0</v>
      </c>
      <c r="G66" s="142">
        <f>'Beregninger uden'!F24*'Beregninger uden'!G47</f>
        <v>0</v>
      </c>
      <c r="H66" s="171">
        <f>D66/100*'Forudsætninger - bedrift'!F73</f>
        <v>0</v>
      </c>
      <c r="I66" s="4"/>
      <c r="J66" s="4"/>
      <c r="K66" s="4"/>
    </row>
    <row r="67" spans="1:11" s="178" customFormat="1" x14ac:dyDescent="0.2">
      <c r="A67" s="38"/>
      <c r="B67" s="39" t="s">
        <v>49</v>
      </c>
      <c r="C67" s="39"/>
      <c r="D67" s="56">
        <f>SUM(D53:D66)</f>
        <v>28297.727999999996</v>
      </c>
      <c r="E67" s="144">
        <f t="shared" ref="E67:H67" si="0">SUM(E53:E66)</f>
        <v>17646.335999999999</v>
      </c>
      <c r="F67" s="144">
        <f t="shared" si="0"/>
        <v>6306.0479999999989</v>
      </c>
      <c r="G67" s="146">
        <f t="shared" si="0"/>
        <v>14784.767999999998</v>
      </c>
      <c r="H67" s="179">
        <f t="shared" si="0"/>
        <v>21223.295999999995</v>
      </c>
      <c r="I67" s="177"/>
      <c r="J67" s="177"/>
      <c r="K67" s="177"/>
    </row>
    <row r="68" spans="1:11" s="178" customFormat="1" x14ac:dyDescent="0.2">
      <c r="A68" s="99"/>
      <c r="B68" s="80"/>
      <c r="C68" s="80"/>
      <c r="D68" s="99"/>
      <c r="E68" s="174"/>
      <c r="F68" s="174"/>
      <c r="G68" s="175"/>
      <c r="H68" s="176"/>
      <c r="I68" s="177"/>
      <c r="J68" s="177"/>
      <c r="K68" s="177"/>
    </row>
    <row r="69" spans="1:11" x14ac:dyDescent="0.2">
      <c r="A69" s="35"/>
      <c r="B69" s="80" t="s">
        <v>48</v>
      </c>
      <c r="C69" s="80"/>
      <c r="D69" s="326">
        <f>D67/'Beregninger uden'!F25</f>
        <v>4.4055</v>
      </c>
      <c r="E69" s="324">
        <f>E67/'Beregninger uden'!F25</f>
        <v>2.7472500000000002</v>
      </c>
      <c r="F69" s="174">
        <f>F67/'Beregninger uden'!F25</f>
        <v>0.98175000000000001</v>
      </c>
      <c r="G69" s="175">
        <f>G67/'Beregninger uden'!F25</f>
        <v>2.3017500000000002</v>
      </c>
      <c r="H69" s="197">
        <f>H67/D67*100</f>
        <v>74.999999999999986</v>
      </c>
      <c r="I69" s="4"/>
      <c r="J69" s="4"/>
      <c r="K69" s="4"/>
    </row>
    <row r="70" spans="1:11" x14ac:dyDescent="0.2">
      <c r="A70" s="35"/>
      <c r="B70" s="80" t="str">
        <f>CONCATENATE("Indhold kg/DE = ", 'Forudsætninger - bedrift'!E74)</f>
        <v>Indhold kg/DE = 288</v>
      </c>
      <c r="C70" s="80"/>
      <c r="D70" s="100">
        <f>D67/'Forudsætninger - bedrift'!E74</f>
        <v>98.255999999999986</v>
      </c>
      <c r="E70" s="174">
        <f>E67/'Forudsætninger - bedrift'!E74</f>
        <v>61.271999999999998</v>
      </c>
      <c r="F70" s="174">
        <f>F67/'Forudsætninger - bedrift'!E74</f>
        <v>21.895999999999997</v>
      </c>
      <c r="G70" s="175">
        <f>G67/'Forudsætninger - bedrift'!E74</f>
        <v>51.335999999999991</v>
      </c>
      <c r="H70" s="176"/>
      <c r="I70" s="4"/>
      <c r="J70" s="4"/>
      <c r="K70" s="4"/>
    </row>
    <row r="71" spans="1:11" x14ac:dyDescent="0.2">
      <c r="A71" s="35"/>
      <c r="B71" s="80" t="str">
        <f>CONCATENATE("Max. Husdyrgødning (godkendt DE/ha)=", 'Forudsætninger - bedrift'!E80)</f>
        <v>Max. Husdyrgødning (godkendt DE/ha)=1,4</v>
      </c>
      <c r="C71" s="80"/>
      <c r="D71" s="100">
        <f>D70*'Forudsætninger - bedrift'!E80</f>
        <v>137.55839999999998</v>
      </c>
      <c r="E71" s="174">
        <f>E70*'Forudsætninger - bedrift'!E80</f>
        <v>85.780799999999999</v>
      </c>
      <c r="F71" s="174">
        <f>F70*'Forudsætninger - bedrift'!E80</f>
        <v>30.654399999999995</v>
      </c>
      <c r="G71" s="175">
        <f>G70*'Forudsætninger - bedrift'!E80</f>
        <v>71.870399999999989</v>
      </c>
      <c r="H71" s="176"/>
      <c r="I71" s="4"/>
      <c r="J71" s="4"/>
      <c r="K71" s="4"/>
    </row>
    <row r="72" spans="1:11" x14ac:dyDescent="0.2">
      <c r="A72" s="35"/>
      <c r="B72" s="80" t="s">
        <v>45</v>
      </c>
      <c r="C72" s="80"/>
      <c r="D72" s="100">
        <f>D71/100*'Beregninger uden'!F28</f>
        <v>103.16879999999996</v>
      </c>
      <c r="E72" s="174"/>
      <c r="F72" s="174"/>
      <c r="G72" s="175"/>
      <c r="H72" s="176"/>
      <c r="I72" s="4"/>
      <c r="J72" s="4"/>
      <c r="K72" s="4"/>
    </row>
    <row r="73" spans="1:11" x14ac:dyDescent="0.2">
      <c r="A73" s="46"/>
      <c r="B73" s="180"/>
      <c r="C73" s="180"/>
      <c r="D73" s="181"/>
      <c r="E73" s="182"/>
      <c r="F73" s="182"/>
      <c r="G73" s="183"/>
      <c r="H73" s="184"/>
      <c r="I73" s="4"/>
      <c r="J73" s="4"/>
      <c r="K73" s="4"/>
    </row>
    <row r="76" spans="1:11" s="1" customFormat="1" ht="15" x14ac:dyDescent="0.2">
      <c r="A76" s="42" t="s">
        <v>105</v>
      </c>
      <c r="B76" s="27"/>
      <c r="C76" s="27"/>
      <c r="D76" s="66"/>
      <c r="E76" s="107"/>
      <c r="F76" s="107"/>
      <c r="G76" s="67"/>
    </row>
    <row r="77" spans="1:11" s="1" customFormat="1" ht="15" x14ac:dyDescent="0.2">
      <c r="A77" s="44"/>
      <c r="B77" s="13"/>
      <c r="C77" s="13"/>
      <c r="D77" s="82" t="s">
        <v>54</v>
      </c>
      <c r="E77" s="84" t="s">
        <v>53</v>
      </c>
      <c r="F77" s="84" t="s">
        <v>52</v>
      </c>
      <c r="G77" s="75" t="s">
        <v>51</v>
      </c>
    </row>
    <row r="78" spans="1:11" ht="15" x14ac:dyDescent="0.2">
      <c r="A78" s="47"/>
      <c r="B78" s="45"/>
      <c r="C78" s="150"/>
      <c r="D78" s="149"/>
      <c r="E78" s="160"/>
      <c r="F78" s="160"/>
      <c r="G78" s="162"/>
      <c r="H78" s="1"/>
    </row>
    <row r="79" spans="1:11" x14ac:dyDescent="0.2">
      <c r="A79" s="35"/>
      <c r="B79" s="32" t="s">
        <v>4</v>
      </c>
      <c r="C79" s="6"/>
      <c r="D79" s="169"/>
      <c r="E79" s="140"/>
      <c r="F79" s="140">
        <f>F53*'Standard værdier'!G49</f>
        <v>0</v>
      </c>
      <c r="G79" s="142">
        <f>G53*'Standard værdier'!H49</f>
        <v>0</v>
      </c>
      <c r="I79" s="4"/>
      <c r="J79" s="4"/>
    </row>
    <row r="80" spans="1:11" x14ac:dyDescent="0.2">
      <c r="A80" s="35"/>
      <c r="B80" s="32" t="s">
        <v>12</v>
      </c>
      <c r="C80" s="6"/>
      <c r="D80" s="169"/>
      <c r="E80" s="140"/>
      <c r="F80" s="140">
        <f>F54*'Standard værdier'!G50</f>
        <v>0</v>
      </c>
      <c r="G80" s="142">
        <f>G54*'Standard værdier'!H50</f>
        <v>0</v>
      </c>
      <c r="I80" s="4"/>
      <c r="J80" s="4"/>
    </row>
    <row r="81" spans="1:10" x14ac:dyDescent="0.2">
      <c r="A81" s="35"/>
      <c r="B81" s="32" t="s">
        <v>5</v>
      </c>
      <c r="C81" s="6"/>
      <c r="D81" s="169"/>
      <c r="E81" s="140"/>
      <c r="F81" s="140">
        <f>F55*'Standard værdier'!G51</f>
        <v>0</v>
      </c>
      <c r="G81" s="142">
        <f>G55*'Standard værdier'!H51</f>
        <v>0</v>
      </c>
      <c r="I81" s="4"/>
      <c r="J81" s="4"/>
    </row>
    <row r="82" spans="1:10" x14ac:dyDescent="0.2">
      <c r="A82" s="35"/>
      <c r="B82" s="32" t="s">
        <v>13</v>
      </c>
      <c r="C82" s="6"/>
      <c r="D82" s="169"/>
      <c r="E82" s="140"/>
      <c r="F82" s="140">
        <f>F56*'Standard værdier'!G52</f>
        <v>0</v>
      </c>
      <c r="G82" s="142">
        <f>G56*'Standard værdier'!H52</f>
        <v>0</v>
      </c>
      <c r="I82" s="4"/>
      <c r="J82" s="4"/>
    </row>
    <row r="83" spans="1:10" x14ac:dyDescent="0.2">
      <c r="A83" s="35"/>
      <c r="B83" s="32" t="s">
        <v>336</v>
      </c>
      <c r="C83" s="6"/>
      <c r="D83" s="169"/>
      <c r="E83" s="140"/>
      <c r="F83" s="140">
        <f>F57*'Standard værdier'!G53</f>
        <v>4414.2335999999987</v>
      </c>
      <c r="G83" s="142">
        <f>G57*'Standard værdier'!H53</f>
        <v>11827.814399999999</v>
      </c>
      <c r="I83" s="4"/>
      <c r="J83" s="4"/>
    </row>
    <row r="84" spans="1:10" x14ac:dyDescent="0.2">
      <c r="A84" s="35"/>
      <c r="B84" s="32" t="s">
        <v>3</v>
      </c>
      <c r="C84" s="6"/>
      <c r="D84" s="169"/>
      <c r="E84" s="140"/>
      <c r="F84" s="140">
        <f>F58*'Standard værdier'!G54</f>
        <v>0</v>
      </c>
      <c r="G84" s="142">
        <f>G58*'Standard værdier'!H54</f>
        <v>0</v>
      </c>
      <c r="I84" s="4"/>
      <c r="J84" s="4"/>
    </row>
    <row r="85" spans="1:10" x14ac:dyDescent="0.2">
      <c r="A85" s="35"/>
      <c r="B85" s="32"/>
      <c r="C85" s="6"/>
      <c r="D85" s="169"/>
      <c r="E85" s="140"/>
      <c r="F85" s="140"/>
      <c r="G85" s="142"/>
      <c r="I85" s="4"/>
      <c r="J85" s="4"/>
    </row>
    <row r="86" spans="1:10" x14ac:dyDescent="0.2">
      <c r="A86" s="35"/>
      <c r="B86" s="32" t="s">
        <v>286</v>
      </c>
      <c r="C86" s="6"/>
      <c r="D86" s="169"/>
      <c r="E86" s="140"/>
      <c r="F86" s="140">
        <f>F60*'Standard værdier'!G56</f>
        <v>0</v>
      </c>
      <c r="G86" s="142">
        <f>G60*'Standard værdier'!H56</f>
        <v>0</v>
      </c>
      <c r="I86" s="4"/>
      <c r="J86" s="4"/>
    </row>
    <row r="87" spans="1:10" x14ac:dyDescent="0.2">
      <c r="A87" s="35"/>
      <c r="B87" s="32" t="s">
        <v>285</v>
      </c>
      <c r="C87" s="6"/>
      <c r="D87" s="169"/>
      <c r="E87" s="140"/>
      <c r="F87" s="140">
        <f>F61*'Standard værdier'!G57</f>
        <v>0</v>
      </c>
      <c r="G87" s="142">
        <f>G61*'Standard værdier'!H57</f>
        <v>0</v>
      </c>
      <c r="I87" s="4"/>
      <c r="J87" s="4"/>
    </row>
    <row r="88" spans="1:10" x14ac:dyDescent="0.2">
      <c r="A88" s="35"/>
      <c r="B88" s="32" t="s">
        <v>287</v>
      </c>
      <c r="C88" s="6"/>
      <c r="D88" s="169"/>
      <c r="E88" s="140"/>
      <c r="F88" s="140">
        <f>F62*'Standard værdier'!G58</f>
        <v>0</v>
      </c>
      <c r="G88" s="142">
        <f>G62*'Standard værdier'!H58</f>
        <v>0</v>
      </c>
      <c r="I88" s="4"/>
      <c r="J88" s="4"/>
    </row>
    <row r="89" spans="1:10" x14ac:dyDescent="0.2">
      <c r="A89" s="35"/>
      <c r="B89" s="32" t="s">
        <v>288</v>
      </c>
      <c r="C89" s="6"/>
      <c r="D89" s="169"/>
      <c r="E89" s="140"/>
      <c r="F89" s="140">
        <f>F63*'Standard værdier'!G59</f>
        <v>0</v>
      </c>
      <c r="G89" s="142">
        <f>G63*'Standard værdier'!H59</f>
        <v>0</v>
      </c>
      <c r="I89" s="4"/>
      <c r="J89" s="4"/>
    </row>
    <row r="90" spans="1:10" x14ac:dyDescent="0.2">
      <c r="A90" s="35"/>
      <c r="B90" s="32" t="s">
        <v>289</v>
      </c>
      <c r="C90" s="6"/>
      <c r="D90" s="169"/>
      <c r="E90" s="140"/>
      <c r="F90" s="140">
        <f>F64*'Standard værdier'!G60</f>
        <v>0</v>
      </c>
      <c r="G90" s="142">
        <f>G64*'Standard værdier'!H60</f>
        <v>0</v>
      </c>
      <c r="I90" s="4"/>
      <c r="J90" s="4"/>
    </row>
    <row r="91" spans="1:10" x14ac:dyDescent="0.2">
      <c r="A91" s="35"/>
      <c r="B91" s="32" t="s">
        <v>290</v>
      </c>
      <c r="C91" s="6"/>
      <c r="D91" s="169"/>
      <c r="E91" s="140"/>
      <c r="F91" s="140">
        <f>F65*'Standard værdier'!G61</f>
        <v>0</v>
      </c>
      <c r="G91" s="142">
        <f>G65*'Standard værdier'!H61</f>
        <v>0</v>
      </c>
      <c r="I91" s="4"/>
      <c r="J91" s="4"/>
    </row>
    <row r="92" spans="1:10" x14ac:dyDescent="0.2">
      <c r="A92" s="46"/>
      <c r="B92" s="33" t="s">
        <v>291</v>
      </c>
      <c r="C92" s="9"/>
      <c r="D92" s="172"/>
      <c r="E92" s="153"/>
      <c r="F92" s="153">
        <f>F66*'Standard værdier'!G62</f>
        <v>0</v>
      </c>
      <c r="G92" s="155">
        <f>G66*'Standard værdier'!H62</f>
        <v>0</v>
      </c>
      <c r="I92" s="4"/>
      <c r="J92" s="4"/>
    </row>
    <row r="93" spans="1:10" x14ac:dyDescent="0.2">
      <c r="A93" s="38"/>
      <c r="B93" s="39" t="s">
        <v>49</v>
      </c>
      <c r="C93" s="39"/>
      <c r="D93" s="56"/>
      <c r="E93" s="144"/>
      <c r="F93" s="144">
        <f>SUM(F79:F92)</f>
        <v>4414.2335999999987</v>
      </c>
      <c r="G93" s="146">
        <f>SUM(G79:G92)</f>
        <v>11827.814399999999</v>
      </c>
      <c r="I93" s="4"/>
      <c r="J93" s="4"/>
    </row>
    <row r="94" spans="1:10" x14ac:dyDescent="0.2">
      <c r="A94" s="99"/>
      <c r="B94" s="80"/>
      <c r="C94" s="80"/>
      <c r="D94" s="99"/>
      <c r="E94" s="174"/>
      <c r="F94" s="174"/>
      <c r="G94" s="175"/>
      <c r="I94" s="4"/>
      <c r="J94" s="4"/>
    </row>
    <row r="95" spans="1:10" x14ac:dyDescent="0.2">
      <c r="A95" s="35"/>
      <c r="B95" s="80" t="s">
        <v>231</v>
      </c>
      <c r="C95" s="80"/>
      <c r="D95" s="100"/>
      <c r="E95" s="174"/>
      <c r="F95" s="174">
        <f>F93/'Beregninger uden'!F25</f>
        <v>0.68722499999999986</v>
      </c>
      <c r="G95" s="175">
        <f>G93/'Beregninger uden'!F25</f>
        <v>1.8414000000000001</v>
      </c>
      <c r="I95" s="4"/>
      <c r="J95" s="4"/>
    </row>
    <row r="96" spans="1:10" x14ac:dyDescent="0.2">
      <c r="A96" s="35"/>
      <c r="B96" s="80" t="s">
        <v>47</v>
      </c>
      <c r="C96" s="80"/>
      <c r="D96" s="100"/>
      <c r="E96" s="174"/>
      <c r="F96" s="174">
        <f>F93/'Forudsætninger - bedrift'!E74</f>
        <v>15.327199999999996</v>
      </c>
      <c r="G96" s="175">
        <f>G93/'Forudsætninger - bedrift'!E74</f>
        <v>41.068799999999996</v>
      </c>
      <c r="I96" s="4"/>
      <c r="J96" s="4"/>
    </row>
    <row r="97" spans="1:9" x14ac:dyDescent="0.2">
      <c r="A97" s="46"/>
      <c r="B97" s="180"/>
      <c r="C97" s="180"/>
      <c r="D97" s="181"/>
      <c r="E97" s="182"/>
      <c r="F97" s="182"/>
      <c r="G97" s="183"/>
    </row>
    <row r="100" spans="1:9" s="1" customFormat="1" ht="15" x14ac:dyDescent="0.2">
      <c r="A100" s="42" t="s">
        <v>115</v>
      </c>
      <c r="B100" s="27"/>
      <c r="C100" s="27"/>
      <c r="D100" s="66"/>
      <c r="E100" s="107"/>
      <c r="F100" s="107"/>
      <c r="G100" s="67"/>
    </row>
    <row r="101" spans="1:9" s="1" customFormat="1" ht="51" x14ac:dyDescent="0.2">
      <c r="A101" s="44"/>
      <c r="B101" s="13"/>
      <c r="C101" s="13"/>
      <c r="D101" s="82" t="s">
        <v>43</v>
      </c>
      <c r="E101" s="84" t="s">
        <v>42</v>
      </c>
      <c r="F101" s="84" t="s">
        <v>41</v>
      </c>
      <c r="G101" s="75" t="s">
        <v>40</v>
      </c>
    </row>
    <row r="102" spans="1:9" x14ac:dyDescent="0.2">
      <c r="A102" s="35"/>
      <c r="B102" s="32"/>
      <c r="C102" s="6"/>
      <c r="D102" s="169"/>
      <c r="E102" s="140"/>
      <c r="F102" s="140"/>
      <c r="G102" s="142"/>
    </row>
    <row r="103" spans="1:9" x14ac:dyDescent="0.2">
      <c r="A103" s="35"/>
      <c r="B103" s="32" t="s">
        <v>44</v>
      </c>
      <c r="C103" s="281">
        <f>'Forudsætninger - bedrift'!E86+'Forudsætninger - bedrift'!E87</f>
        <v>251.85</v>
      </c>
      <c r="D103" s="169"/>
      <c r="E103" s="140"/>
      <c r="F103" s="140"/>
      <c r="G103" s="142"/>
      <c r="H103" s="69"/>
      <c r="I103" s="69"/>
    </row>
    <row r="104" spans="1:9" x14ac:dyDescent="0.2">
      <c r="A104" s="35"/>
      <c r="B104" s="32"/>
      <c r="C104" s="6"/>
      <c r="D104" s="169"/>
      <c r="E104" s="140"/>
      <c r="F104" s="140"/>
      <c r="G104" s="142"/>
      <c r="H104" s="69"/>
    </row>
    <row r="105" spans="1:9" ht="30" customHeight="1" x14ac:dyDescent="0.2">
      <c r="A105" s="35"/>
      <c r="B105" s="335" t="s">
        <v>39</v>
      </c>
      <c r="C105" s="336"/>
      <c r="D105" s="169">
        <f>C103*'Forudsætninger - bedrift'!E121</f>
        <v>37777.5</v>
      </c>
      <c r="E105" s="140"/>
      <c r="F105" s="140">
        <f>'Forudsætninger - bedrift'!G121*C103</f>
        <v>4281.45</v>
      </c>
      <c r="G105" s="142">
        <f>'Forudsætninger - bedrift'!H121*C103</f>
        <v>12592.5</v>
      </c>
      <c r="H105" s="69"/>
      <c r="I105" s="69"/>
    </row>
    <row r="106" spans="1:9" x14ac:dyDescent="0.2">
      <c r="A106" s="35"/>
      <c r="B106" s="32"/>
      <c r="C106" s="6"/>
      <c r="D106" s="169"/>
      <c r="E106" s="140"/>
      <c r="F106" s="140"/>
      <c r="G106" s="142"/>
      <c r="H106" s="3"/>
    </row>
    <row r="107" spans="1:9" x14ac:dyDescent="0.2">
      <c r="A107" s="35"/>
      <c r="B107" s="32" t="s">
        <v>35</v>
      </c>
      <c r="C107" s="6"/>
      <c r="D107" s="169">
        <f>+D67</f>
        <v>28297.727999999996</v>
      </c>
      <c r="E107" s="321">
        <f>'Beregninger uden'!E69*F116</f>
        <v>17646.335999999999</v>
      </c>
      <c r="F107" s="140">
        <f>'Beregninger uden'!F95*F116</f>
        <v>4414.2335999999987</v>
      </c>
      <c r="G107" s="142">
        <f>'Beregninger uden'!G95*F116</f>
        <v>11827.814399999999</v>
      </c>
      <c r="H107" s="3"/>
    </row>
    <row r="108" spans="1:9" x14ac:dyDescent="0.2">
      <c r="A108" s="35"/>
      <c r="B108" s="32"/>
      <c r="C108" s="6"/>
      <c r="D108" s="169"/>
      <c r="E108" s="140"/>
      <c r="F108" s="140"/>
      <c r="G108" s="142"/>
      <c r="H108" s="3"/>
    </row>
    <row r="109" spans="1:9" x14ac:dyDescent="0.2">
      <c r="A109" s="35"/>
      <c r="B109" s="32" t="s">
        <v>38</v>
      </c>
      <c r="C109" s="6"/>
      <c r="D109" s="169">
        <f>+'Forudsætninger - bedrift'!E122</f>
        <v>37088</v>
      </c>
      <c r="E109" s="140"/>
      <c r="F109" s="140"/>
      <c r="G109" s="142"/>
      <c r="H109" s="3"/>
    </row>
    <row r="110" spans="1:9" x14ac:dyDescent="0.2">
      <c r="A110" s="35"/>
      <c r="B110" s="32" t="s">
        <v>187</v>
      </c>
      <c r="C110" s="6"/>
      <c r="D110" s="169"/>
      <c r="E110" s="140"/>
      <c r="F110" s="140">
        <f>+F105</f>
        <v>4281.45</v>
      </c>
      <c r="G110" s="142">
        <f>+G105</f>
        <v>12592.5</v>
      </c>
      <c r="H110" s="3"/>
    </row>
    <row r="111" spans="1:9" x14ac:dyDescent="0.2">
      <c r="A111" s="35"/>
      <c r="B111" s="32" t="s">
        <v>34</v>
      </c>
      <c r="C111" s="6"/>
      <c r="D111" s="169">
        <f>+D107*H69/100</f>
        <v>21223.295999999991</v>
      </c>
      <c r="E111" s="140"/>
      <c r="F111" s="140">
        <f>F107</f>
        <v>4414.2335999999987</v>
      </c>
      <c r="G111" s="142">
        <f>G107</f>
        <v>11827.814399999999</v>
      </c>
      <c r="H111" s="72"/>
      <c r="I111" s="69"/>
    </row>
    <row r="112" spans="1:9" x14ac:dyDescent="0.2">
      <c r="A112" s="38"/>
      <c r="B112" s="39" t="s">
        <v>33</v>
      </c>
      <c r="C112" s="39"/>
      <c r="D112" s="56">
        <f>D109-D111</f>
        <v>15864.704000000009</v>
      </c>
      <c r="E112" s="322">
        <f>D112</f>
        <v>15864.704000000009</v>
      </c>
      <c r="F112" s="144">
        <f>F110-F111</f>
        <v>-132.78359999999884</v>
      </c>
      <c r="G112" s="146">
        <f>G110-G111</f>
        <v>764.6856000000007</v>
      </c>
      <c r="H112" s="69"/>
      <c r="I112" s="69"/>
    </row>
    <row r="113" spans="1:8" x14ac:dyDescent="0.2">
      <c r="A113" s="35"/>
      <c r="B113" s="32" t="s">
        <v>186</v>
      </c>
      <c r="C113" s="6"/>
      <c r="D113" s="169"/>
      <c r="E113" s="140"/>
      <c r="F113" s="140"/>
      <c r="G113" s="142"/>
    </row>
    <row r="114" spans="1:8" x14ac:dyDescent="0.2">
      <c r="A114" s="35"/>
      <c r="B114" s="32"/>
      <c r="C114" s="6"/>
      <c r="D114" s="169"/>
      <c r="E114" s="140"/>
      <c r="F114" s="140"/>
      <c r="G114" s="142"/>
    </row>
    <row r="115" spans="1:8" ht="25.5" x14ac:dyDescent="0.2">
      <c r="A115" s="35"/>
      <c r="B115" s="32" t="s">
        <v>114</v>
      </c>
      <c r="C115" s="6"/>
      <c r="D115" s="169"/>
      <c r="E115" s="186" t="s">
        <v>37</v>
      </c>
      <c r="F115" s="186" t="s">
        <v>36</v>
      </c>
      <c r="G115" s="142"/>
    </row>
    <row r="116" spans="1:8" x14ac:dyDescent="0.2">
      <c r="A116" s="46"/>
      <c r="B116" s="33" t="s">
        <v>35</v>
      </c>
      <c r="C116" s="9"/>
      <c r="D116" s="325">
        <f>+D107</f>
        <v>28297.727999999996</v>
      </c>
      <c r="E116" s="164">
        <f>(D116/'Beregninger uden'!D70)/C103</f>
        <v>1.1435378201310304</v>
      </c>
      <c r="F116" s="323">
        <f>D116/'Beregninger uden'!D69</f>
        <v>6423.2727272727261</v>
      </c>
      <c r="G116" s="155"/>
    </row>
    <row r="118" spans="1:8" x14ac:dyDescent="0.2">
      <c r="B118" s="69"/>
      <c r="C118" s="69"/>
      <c r="D118" s="69"/>
      <c r="E118" s="69"/>
      <c r="F118" s="69"/>
      <c r="G118" s="69"/>
      <c r="H118" s="69"/>
    </row>
    <row r="119" spans="1:8" s="1" customFormat="1" ht="15" x14ac:dyDescent="0.2">
      <c r="A119" s="42" t="s">
        <v>253</v>
      </c>
      <c r="B119" s="27"/>
      <c r="C119" s="27"/>
      <c r="D119" s="27"/>
      <c r="E119" s="107"/>
      <c r="F119" s="107"/>
      <c r="G119" s="67"/>
      <c r="H119" s="167"/>
    </row>
    <row r="120" spans="1:8" s="1" customFormat="1" ht="15" x14ac:dyDescent="0.2">
      <c r="A120" s="44"/>
      <c r="B120" s="13"/>
      <c r="C120" s="13"/>
      <c r="D120" s="13"/>
      <c r="E120" s="84"/>
      <c r="F120" s="195" t="s">
        <v>177</v>
      </c>
      <c r="G120" s="75" t="s">
        <v>97</v>
      </c>
      <c r="H120" s="168" t="s">
        <v>117</v>
      </c>
    </row>
    <row r="121" spans="1:8" x14ac:dyDescent="0.2">
      <c r="A121" s="47"/>
      <c r="B121" s="45"/>
      <c r="C121" s="150"/>
      <c r="D121" s="241"/>
      <c r="E121" s="188"/>
      <c r="F121" s="188"/>
      <c r="G121" s="189"/>
      <c r="H121" s="190"/>
    </row>
    <row r="122" spans="1:8" s="232" customFormat="1" x14ac:dyDescent="0.2">
      <c r="A122" s="35"/>
      <c r="B122" s="32" t="s">
        <v>176</v>
      </c>
      <c r="C122" s="32"/>
      <c r="D122" s="140"/>
      <c r="E122" s="140"/>
      <c r="F122" s="157">
        <f>+'Forudsætninger - bedrift'!E89</f>
        <v>46.135714285714272</v>
      </c>
      <c r="G122" s="142">
        <f>+'Forudsætninger - bedrift'!E91</f>
        <v>0</v>
      </c>
      <c r="H122" s="224">
        <f>G122*F122</f>
        <v>0</v>
      </c>
    </row>
    <row r="123" spans="1:8" x14ac:dyDescent="0.2">
      <c r="A123" s="46"/>
      <c r="B123" s="33"/>
      <c r="C123" s="9"/>
      <c r="D123" s="242"/>
      <c r="E123" s="153"/>
      <c r="F123" s="153"/>
      <c r="G123" s="155"/>
      <c r="H123" s="155"/>
    </row>
    <row r="124" spans="1:8" x14ac:dyDescent="0.2">
      <c r="B124" s="69"/>
      <c r="C124" s="69"/>
      <c r="D124" s="69"/>
      <c r="E124" s="69"/>
      <c r="F124" s="69"/>
      <c r="G124" s="69"/>
      <c r="H124" s="69"/>
    </row>
    <row r="126" spans="1:8" s="1" customFormat="1" ht="15" x14ac:dyDescent="0.2">
      <c r="A126" s="42" t="s">
        <v>116</v>
      </c>
      <c r="B126" s="27"/>
      <c r="C126" s="193"/>
      <c r="D126" s="66"/>
      <c r="E126" s="107"/>
      <c r="F126" s="107"/>
      <c r="G126" s="67"/>
      <c r="H126" s="167"/>
    </row>
    <row r="127" spans="1:8" s="1" customFormat="1" ht="51" x14ac:dyDescent="0.2">
      <c r="A127" s="44"/>
      <c r="B127" s="13"/>
      <c r="C127" s="52"/>
      <c r="D127" s="82" t="s">
        <v>43</v>
      </c>
      <c r="E127" s="84" t="s">
        <v>42</v>
      </c>
      <c r="F127" s="84" t="s">
        <v>41</v>
      </c>
      <c r="G127" s="75" t="s">
        <v>40</v>
      </c>
      <c r="H127" s="168" t="s">
        <v>117</v>
      </c>
    </row>
    <row r="128" spans="1:8" x14ac:dyDescent="0.2">
      <c r="A128" s="47"/>
      <c r="B128" s="45"/>
      <c r="C128" s="150"/>
      <c r="D128" s="187"/>
      <c r="E128" s="188"/>
      <c r="F128" s="188"/>
      <c r="G128" s="189"/>
      <c r="H128" s="190"/>
    </row>
    <row r="129" spans="1:8" x14ac:dyDescent="0.2">
      <c r="A129" s="35"/>
      <c r="B129" s="32" t="s">
        <v>188</v>
      </c>
      <c r="C129" s="6"/>
      <c r="D129" s="248">
        <f>+'Standard værdier'!E68</f>
        <v>8</v>
      </c>
      <c r="E129" s="140"/>
      <c r="F129" s="157">
        <f>+'Standard værdier'!G68</f>
        <v>0</v>
      </c>
      <c r="G129" s="158">
        <f>IF(G112&gt;=0,+'Standard værdier'!H68,0)</f>
        <v>6.75</v>
      </c>
      <c r="H129" s="247"/>
    </row>
    <row r="130" spans="1:8" x14ac:dyDescent="0.2">
      <c r="A130" s="35"/>
      <c r="B130" s="80" t="s">
        <v>31</v>
      </c>
      <c r="C130" s="80"/>
      <c r="D130" s="64">
        <f>'Beregninger uden'!D112*D129</f>
        <v>126917.63200000007</v>
      </c>
      <c r="E130" s="81"/>
      <c r="F130" s="81">
        <f>'Beregninger uden'!F112*F129</f>
        <v>0</v>
      </c>
      <c r="G130" s="194">
        <f>'Beregninger uden'!G112*G129</f>
        <v>5161.6278000000048</v>
      </c>
      <c r="H130" s="194">
        <f>SUM(D130:G130)</f>
        <v>132079.25980000009</v>
      </c>
    </row>
    <row r="131" spans="1:8" x14ac:dyDescent="0.2">
      <c r="A131" s="35"/>
      <c r="B131" s="32"/>
      <c r="C131" s="80"/>
      <c r="D131" s="64"/>
      <c r="E131" s="81"/>
      <c r="F131" s="81"/>
      <c r="G131" s="194"/>
      <c r="H131" s="194"/>
    </row>
    <row r="132" spans="1:8" x14ac:dyDescent="0.2">
      <c r="A132" s="35"/>
      <c r="B132" s="32" t="s">
        <v>246</v>
      </c>
      <c r="C132" s="80"/>
      <c r="D132" s="64"/>
      <c r="E132" s="81"/>
      <c r="F132" s="81"/>
      <c r="G132" s="194"/>
      <c r="H132" s="194"/>
    </row>
    <row r="133" spans="1:8" x14ac:dyDescent="0.2">
      <c r="A133" s="46"/>
      <c r="B133" s="33"/>
      <c r="C133" s="9"/>
      <c r="D133" s="172"/>
      <c r="E133" s="153"/>
      <c r="F133" s="153"/>
      <c r="G133" s="155"/>
      <c r="H133" s="155"/>
    </row>
    <row r="136" spans="1:8" s="1" customFormat="1" ht="15" x14ac:dyDescent="0.2">
      <c r="A136" s="42" t="s">
        <v>118</v>
      </c>
      <c r="B136" s="27"/>
      <c r="C136" s="27"/>
      <c r="D136" s="27"/>
      <c r="E136" s="107"/>
      <c r="F136" s="107"/>
      <c r="G136" s="67"/>
      <c r="H136" s="167"/>
    </row>
    <row r="137" spans="1:8" s="1" customFormat="1" ht="15" x14ac:dyDescent="0.2">
      <c r="A137" s="44"/>
      <c r="B137" s="13"/>
      <c r="C137" s="13"/>
      <c r="D137" s="13"/>
      <c r="E137" s="84"/>
      <c r="F137" s="195" t="s">
        <v>2</v>
      </c>
      <c r="G137" s="75" t="s">
        <v>97</v>
      </c>
      <c r="H137" s="168" t="s">
        <v>117</v>
      </c>
    </row>
    <row r="138" spans="1:8" x14ac:dyDescent="0.2">
      <c r="A138" s="47"/>
      <c r="B138" s="45"/>
      <c r="C138" s="150"/>
      <c r="D138" s="150"/>
      <c r="E138" s="188"/>
      <c r="F138" s="150"/>
      <c r="G138" s="151"/>
      <c r="H138" s="190"/>
    </row>
    <row r="139" spans="1:8" x14ac:dyDescent="0.2">
      <c r="A139" s="35"/>
      <c r="B139" s="32" t="s">
        <v>30</v>
      </c>
      <c r="C139" s="6"/>
      <c r="D139" s="6"/>
      <c r="E139" s="140"/>
      <c r="F139" s="185">
        <f>+'Forudsætninger - bedrift'!F157</f>
        <v>30</v>
      </c>
      <c r="G139" s="196">
        <f>+'Forudsætninger - bedrift'!E157</f>
        <v>750</v>
      </c>
      <c r="H139" s="171">
        <f t="shared" ref="H139:H145" si="1">G139*F139</f>
        <v>22500</v>
      </c>
    </row>
    <row r="140" spans="1:8" x14ac:dyDescent="0.2">
      <c r="A140" s="35"/>
      <c r="B140" s="32" t="s">
        <v>29</v>
      </c>
      <c r="C140" s="6"/>
      <c r="D140" s="6"/>
      <c r="E140" s="140"/>
      <c r="F140" s="185">
        <f>+'Forudsætninger - bedrift'!F158</f>
        <v>0</v>
      </c>
      <c r="G140" s="196">
        <f>+'Forudsætninger - bedrift'!E158</f>
        <v>900</v>
      </c>
      <c r="H140" s="171">
        <f t="shared" si="1"/>
        <v>0</v>
      </c>
    </row>
    <row r="141" spans="1:8" x14ac:dyDescent="0.2">
      <c r="A141" s="35"/>
      <c r="B141" s="32" t="s">
        <v>28</v>
      </c>
      <c r="C141" s="6"/>
      <c r="D141" s="6"/>
      <c r="E141" s="140"/>
      <c r="F141" s="7">
        <f>+SUM(F11:F16)</f>
        <v>6423.2727272727261</v>
      </c>
      <c r="G141" s="196">
        <f>+'Forudsætninger - bedrift'!E159</f>
        <v>20</v>
      </c>
      <c r="H141" s="171">
        <f t="shared" si="1"/>
        <v>128465.45454545453</v>
      </c>
    </row>
    <row r="142" spans="1:8" x14ac:dyDescent="0.2">
      <c r="A142" s="35"/>
      <c r="B142" s="32" t="s">
        <v>292</v>
      </c>
      <c r="C142" s="6"/>
      <c r="D142" s="6"/>
      <c r="E142" s="140"/>
      <c r="F142" s="7">
        <f>SUM(F18:F24)</f>
        <v>0</v>
      </c>
      <c r="G142" s="196">
        <f>+'Forudsætninger - bedrift'!E160</f>
        <v>12</v>
      </c>
      <c r="H142" s="171">
        <f t="shared" si="1"/>
        <v>0</v>
      </c>
    </row>
    <row r="143" spans="1:8" x14ac:dyDescent="0.2">
      <c r="A143" s="35"/>
      <c r="B143" s="32" t="s">
        <v>293</v>
      </c>
      <c r="C143" s="6"/>
      <c r="D143" s="6"/>
      <c r="E143" s="140"/>
      <c r="F143" s="7">
        <f>SUM(F18:F24)</f>
        <v>0</v>
      </c>
      <c r="G143" s="196">
        <f>+'Forudsætninger - bedrift'!E161</f>
        <v>25</v>
      </c>
      <c r="H143" s="171">
        <f t="shared" si="1"/>
        <v>0</v>
      </c>
    </row>
    <row r="144" spans="1:8" x14ac:dyDescent="0.2">
      <c r="A144" s="35"/>
      <c r="B144" s="32" t="s">
        <v>27</v>
      </c>
      <c r="C144" s="6"/>
      <c r="D144" s="6"/>
      <c r="E144" s="140"/>
      <c r="F144" s="6"/>
      <c r="G144" s="196">
        <f>+'Forudsætninger - bedrift'!E162</f>
        <v>20</v>
      </c>
      <c r="H144" s="171">
        <f t="shared" si="1"/>
        <v>0</v>
      </c>
    </row>
    <row r="145" spans="1:8" x14ac:dyDescent="0.2">
      <c r="A145" s="35"/>
      <c r="B145" s="32" t="s">
        <v>274</v>
      </c>
      <c r="C145" s="6"/>
      <c r="D145" s="6"/>
      <c r="E145" s="140"/>
      <c r="F145" s="6">
        <v>1</v>
      </c>
      <c r="G145" s="196">
        <f>+'Forudsætninger - bedrift'!E163</f>
        <v>0</v>
      </c>
      <c r="H145" s="171">
        <f t="shared" si="1"/>
        <v>0</v>
      </c>
    </row>
    <row r="146" spans="1:8" x14ac:dyDescent="0.2">
      <c r="A146" s="38"/>
      <c r="B146" s="39" t="s">
        <v>119</v>
      </c>
      <c r="C146" s="144"/>
      <c r="D146" s="144"/>
      <c r="E146" s="144"/>
      <c r="F146" s="144"/>
      <c r="G146" s="146"/>
      <c r="H146" s="179">
        <f>SUM(H139:H145)</f>
        <v>150965.45454545453</v>
      </c>
    </row>
    <row r="147" spans="1:8" x14ac:dyDescent="0.2">
      <c r="B147" s="69"/>
      <c r="C147" s="69"/>
      <c r="D147" s="69"/>
      <c r="E147" s="69"/>
      <c r="F147" s="69"/>
      <c r="G147" s="69"/>
      <c r="H147" s="69"/>
    </row>
    <row r="148" spans="1:8" x14ac:dyDescent="0.2">
      <c r="B148" s="69"/>
      <c r="C148" s="69"/>
      <c r="D148" s="69"/>
      <c r="E148" s="69"/>
      <c r="F148" s="69"/>
      <c r="G148" s="69"/>
      <c r="H148" s="69"/>
    </row>
    <row r="149" spans="1:8" s="1" customFormat="1" ht="15" x14ac:dyDescent="0.2">
      <c r="A149" s="42" t="s">
        <v>120</v>
      </c>
      <c r="B149" s="27"/>
      <c r="C149" s="27"/>
      <c r="D149" s="66"/>
      <c r="E149" s="107"/>
      <c r="F149" s="107"/>
      <c r="G149" s="67"/>
    </row>
    <row r="150" spans="1:8" s="1" customFormat="1" ht="51" x14ac:dyDescent="0.2">
      <c r="A150" s="44"/>
      <c r="B150" s="13"/>
      <c r="C150" s="13"/>
      <c r="D150" s="82" t="s">
        <v>43</v>
      </c>
      <c r="E150" s="84" t="s">
        <v>42</v>
      </c>
      <c r="F150" s="84" t="s">
        <v>41</v>
      </c>
      <c r="G150" s="75" t="s">
        <v>40</v>
      </c>
    </row>
    <row r="151" spans="1:8" x14ac:dyDescent="0.2">
      <c r="A151" s="47"/>
      <c r="B151" s="45"/>
      <c r="C151" s="150"/>
      <c r="D151" s="187"/>
      <c r="E151" s="188"/>
      <c r="F151" s="188"/>
      <c r="G151" s="189"/>
      <c r="H151" s="3"/>
    </row>
    <row r="152" spans="1:8" x14ac:dyDescent="0.2">
      <c r="A152" s="35"/>
      <c r="B152" s="32" t="s">
        <v>26</v>
      </c>
      <c r="C152" s="6"/>
      <c r="D152" s="169">
        <f>'Beregninger uden'!D107+'Beregninger uden'!D112</f>
        <v>44162.432000000001</v>
      </c>
      <c r="E152" s="321">
        <f>'Beregninger uden'!E107+'Beregninger uden'!E112</f>
        <v>33511.040000000008</v>
      </c>
      <c r="F152" s="140">
        <f>'Beregninger uden'!F107+'Beregninger uden'!F112</f>
        <v>4281.45</v>
      </c>
      <c r="G152" s="142">
        <f>'Beregninger uden'!G107+'Beregninger uden'!G112</f>
        <v>12592.5</v>
      </c>
      <c r="H152" s="3"/>
    </row>
    <row r="153" spans="1:8" x14ac:dyDescent="0.2">
      <c r="A153" s="35"/>
      <c r="B153" s="32" t="s">
        <v>24</v>
      </c>
      <c r="C153" s="6"/>
      <c r="D153" s="169">
        <f>D152/'Beregninger uden'!C103</f>
        <v>175.35212229501687</v>
      </c>
      <c r="E153" s="321">
        <f>E152/'Beregninger uden'!C103</f>
        <v>133.05951955529088</v>
      </c>
      <c r="F153" s="140">
        <f>F152/'Beregninger uden'!C103</f>
        <v>17</v>
      </c>
      <c r="G153" s="142">
        <f>G152/'Beregninger uden'!C103</f>
        <v>50</v>
      </c>
      <c r="H153" s="3"/>
    </row>
    <row r="154" spans="1:8" x14ac:dyDescent="0.2">
      <c r="A154" s="35"/>
      <c r="B154" s="32"/>
      <c r="C154" s="6"/>
      <c r="D154" s="169"/>
      <c r="E154" s="140"/>
      <c r="F154" s="140"/>
      <c r="G154" s="142"/>
      <c r="H154" s="3"/>
    </row>
    <row r="155" spans="1:8" x14ac:dyDescent="0.2">
      <c r="A155" s="35"/>
      <c r="B155" s="32" t="s">
        <v>25</v>
      </c>
      <c r="C155" s="6"/>
      <c r="D155" s="169">
        <f>'Beregninger uden'!D111+'Beregninger uden'!D112</f>
        <v>37088</v>
      </c>
      <c r="E155" s="140">
        <f t="shared" ref="E155:G156" si="2">E152</f>
        <v>33511.040000000008</v>
      </c>
      <c r="F155" s="140">
        <f t="shared" si="2"/>
        <v>4281.45</v>
      </c>
      <c r="G155" s="142">
        <f t="shared" si="2"/>
        <v>12592.5</v>
      </c>
      <c r="H155" s="3"/>
    </row>
    <row r="156" spans="1:8" x14ac:dyDescent="0.2">
      <c r="A156" s="46"/>
      <c r="B156" s="33" t="s">
        <v>24</v>
      </c>
      <c r="C156" s="9"/>
      <c r="D156" s="172">
        <f>D155/'Beregninger uden'!C103</f>
        <v>147.26225928131825</v>
      </c>
      <c r="E156" s="153">
        <f t="shared" si="2"/>
        <v>133.05951955529088</v>
      </c>
      <c r="F156" s="153">
        <f t="shared" si="2"/>
        <v>17</v>
      </c>
      <c r="G156" s="155">
        <f t="shared" si="2"/>
        <v>50</v>
      </c>
      <c r="H156" s="3"/>
    </row>
    <row r="157" spans="1:8" ht="15" x14ac:dyDescent="0.25">
      <c r="B157" s="68"/>
      <c r="C157" s="68"/>
      <c r="D157" s="68"/>
      <c r="E157" s="68"/>
      <c r="F157" s="68"/>
      <c r="G157" s="68"/>
      <c r="H157" s="68"/>
    </row>
    <row r="158" spans="1:8" ht="15" x14ac:dyDescent="0.25">
      <c r="B158" s="68"/>
      <c r="C158" s="68"/>
      <c r="D158" s="68"/>
      <c r="E158" s="68"/>
      <c r="F158" s="68"/>
      <c r="G158" s="68"/>
      <c r="H158" s="68"/>
    </row>
  </sheetData>
  <mergeCells count="5">
    <mergeCell ref="B105:C105"/>
    <mergeCell ref="D8:E8"/>
    <mergeCell ref="F8:G8"/>
    <mergeCell ref="D31:E31"/>
    <mergeCell ref="F31:G31"/>
  </mergeCells>
  <conditionalFormatting sqref="D72">
    <cfRule type="cellIs" dxfId="1" priority="1" operator="greaterThan">
      <formula>100</formula>
    </cfRule>
  </conditionalFormatting>
  <printOptions horizontalCentered="1"/>
  <pageMargins left="0.86614173228346458" right="0.31496062992125984" top="0.27559055118110237" bottom="0.47244094488188981" header="0" footer="0.27559055118110237"/>
  <pageSetup paperSize="9" scale="89" fitToHeight="0" orientation="portrait" r:id="rId1"/>
  <headerFooter alignWithMargins="0">
    <oddFooter>&amp;L&amp;8Udskrevet &amp;D;kl. &amp;T&amp;C&amp;10Side &amp;P af &amp;N&amp;R&amp;8&amp;F/&amp;A</oddFooter>
  </headerFooter>
  <rowBreaks count="3" manualBreakCount="3">
    <brk id="47" max="7" man="1"/>
    <brk id="97" max="7" man="1"/>
    <brk id="146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281"/>
  <sheetViews>
    <sheetView showGridLines="0" zoomScaleNormal="100" zoomScaleSheetLayoutView="100" workbookViewId="0">
      <pane ySplit="5" topLeftCell="A6" activePane="bottomLeft" state="frozen"/>
      <selection activeCell="J59" sqref="J59"/>
      <selection pane="bottomLeft" activeCell="A6" sqref="A6"/>
    </sheetView>
  </sheetViews>
  <sheetFormatPr defaultColWidth="8" defaultRowHeight="12.75" x14ac:dyDescent="0.2"/>
  <cols>
    <col min="1" max="1" width="7.109375" style="3" customWidth="1"/>
    <col min="2" max="2" width="26.5546875" style="3" customWidth="1"/>
    <col min="3" max="4" width="9.6640625" style="3" customWidth="1"/>
    <col min="5" max="8" width="8" style="4" customWidth="1"/>
    <col min="9" max="9" width="6.44140625" style="3" customWidth="1"/>
    <col min="10" max="10" width="9.33203125" style="3" customWidth="1"/>
    <col min="11" max="11" width="7" style="3" customWidth="1"/>
    <col min="12" max="16384" width="8" style="3"/>
  </cols>
  <sheetData>
    <row r="1" spans="1:13" s="1" customFormat="1" ht="15" x14ac:dyDescent="0.2">
      <c r="A1" s="1" t="str">
        <f ca="1">CELL("filnavn",B1)</f>
        <v>C:\Users\SST\AppData\Local\Microsoft\Windows\Temporary Internet Files\Content.Outlook\2FA5JZUZ\[MBE Busines case - Niels Mikkelsen - ver A2.xlsx]Beregninger med</v>
      </c>
      <c r="E1" s="2"/>
      <c r="F1" s="2"/>
      <c r="G1" s="2"/>
      <c r="H1" s="2"/>
    </row>
    <row r="2" spans="1:13" s="1" customFormat="1" ht="46.5" customHeight="1" thickBot="1" x14ac:dyDescent="0.3">
      <c r="A2" s="5"/>
      <c r="B2" s="5"/>
      <c r="C2" s="5"/>
      <c r="D2" s="5"/>
      <c r="E2" s="2"/>
      <c r="G2" s="14"/>
      <c r="H2" s="15"/>
    </row>
    <row r="3" spans="1:13" s="1" customFormat="1" ht="20.25" x14ac:dyDescent="0.3">
      <c r="A3" s="16" t="s">
        <v>6</v>
      </c>
      <c r="B3" s="17"/>
      <c r="C3" s="17"/>
      <c r="D3" s="17"/>
      <c r="E3" s="18"/>
      <c r="F3" s="31"/>
      <c r="G3" s="19"/>
      <c r="H3" s="20"/>
    </row>
    <row r="4" spans="1:13" s="1" customFormat="1" ht="16.5" customHeight="1" x14ac:dyDescent="0.2">
      <c r="A4" s="34" t="s">
        <v>7</v>
      </c>
      <c r="B4" s="11"/>
      <c r="C4" s="11"/>
      <c r="D4" s="11"/>
      <c r="E4" s="12"/>
      <c r="F4" s="30" t="s">
        <v>0</v>
      </c>
      <c r="G4" s="8"/>
      <c r="H4" s="37">
        <f>+'Forudsætninger - bedrift'!H4</f>
        <v>41281</v>
      </c>
    </row>
    <row r="5" spans="1:13" s="1" customFormat="1" ht="16.5" thickBot="1" x14ac:dyDescent="0.3">
      <c r="A5" s="95" t="s">
        <v>121</v>
      </c>
      <c r="B5" s="92"/>
      <c r="C5" s="92"/>
      <c r="D5" s="92"/>
      <c r="E5" s="93" t="str">
        <f>+'Forudsætninger - bedrift'!D5</f>
        <v>Niels Mikkelsen - Version A2</v>
      </c>
      <c r="F5" s="93"/>
      <c r="G5" s="93"/>
      <c r="H5" s="94"/>
    </row>
    <row r="6" spans="1:13" s="1" customFormat="1" ht="15.75" x14ac:dyDescent="0.25">
      <c r="A6" s="10"/>
      <c r="B6" s="25"/>
      <c r="C6" s="25"/>
      <c r="D6" s="25"/>
      <c r="E6" s="26"/>
      <c r="F6" s="26"/>
      <c r="G6" s="26"/>
      <c r="H6" s="26"/>
    </row>
    <row r="7" spans="1:13" s="1" customFormat="1" ht="15.75" x14ac:dyDescent="0.25">
      <c r="A7" s="29"/>
      <c r="B7" s="29"/>
      <c r="C7" s="29"/>
      <c r="D7" s="29"/>
      <c r="E7" s="26"/>
      <c r="F7" s="26"/>
      <c r="G7" s="26"/>
      <c r="H7" s="26"/>
    </row>
    <row r="8" spans="1:13" s="1" customFormat="1" ht="15" x14ac:dyDescent="0.2">
      <c r="A8" s="42" t="s">
        <v>107</v>
      </c>
      <c r="B8" s="27"/>
      <c r="C8" s="27"/>
      <c r="D8" s="332"/>
      <c r="E8" s="334"/>
      <c r="F8" s="334"/>
      <c r="G8" s="333"/>
    </row>
    <row r="9" spans="1:13" s="1" customFormat="1" ht="38.25" x14ac:dyDescent="0.2">
      <c r="A9" s="44"/>
      <c r="B9" s="13"/>
      <c r="C9" s="13"/>
      <c r="D9" s="82" t="s">
        <v>56</v>
      </c>
      <c r="E9" s="84" t="s">
        <v>108</v>
      </c>
      <c r="F9" s="84" t="s">
        <v>109</v>
      </c>
      <c r="G9" s="75"/>
    </row>
    <row r="10" spans="1:13" s="1" customFormat="1" ht="15" x14ac:dyDescent="0.2">
      <c r="A10" s="35"/>
      <c r="B10" s="32"/>
      <c r="C10" s="6"/>
      <c r="D10" s="101"/>
      <c r="E10" s="105"/>
      <c r="F10" s="108"/>
      <c r="G10" s="109"/>
    </row>
    <row r="11" spans="1:13" x14ac:dyDescent="0.2">
      <c r="A11" s="35"/>
      <c r="B11" s="32" t="s">
        <v>4</v>
      </c>
      <c r="C11" s="6"/>
      <c r="D11" s="139">
        <f>'Forudsætninger - bedrift'!G60*'Standard værdier'!E11</f>
        <v>0</v>
      </c>
      <c r="E11" s="143">
        <f>+'Forudsætninger - bedrift'!G102/'Standard værdier'!F11</f>
        <v>1</v>
      </c>
      <c r="F11" s="141">
        <f>D11/'Forudsætninger - bedrift'!G102*'Standard værdier'!F11</f>
        <v>0</v>
      </c>
      <c r="G11" s="142"/>
      <c r="I11" s="4"/>
      <c r="J11" s="4"/>
      <c r="K11" s="4"/>
      <c r="L11" s="4"/>
      <c r="M11" s="4"/>
    </row>
    <row r="12" spans="1:13" x14ac:dyDescent="0.2">
      <c r="A12" s="35"/>
      <c r="B12" s="32" t="s">
        <v>12</v>
      </c>
      <c r="C12" s="6"/>
      <c r="D12" s="139">
        <f>'Forudsætninger - bedrift'!G61*'Standard værdier'!E12</f>
        <v>0</v>
      </c>
      <c r="E12" s="143">
        <f>+'Forudsætninger - bedrift'!G103/'Standard værdier'!F12</f>
        <v>1</v>
      </c>
      <c r="F12" s="141">
        <f>D12/'Forudsætninger - bedrift'!G103*'Standard værdier'!F12</f>
        <v>0</v>
      </c>
      <c r="G12" s="142"/>
      <c r="I12" s="4"/>
      <c r="J12" s="4"/>
      <c r="K12" s="4"/>
      <c r="L12" s="4"/>
      <c r="M12" s="4"/>
    </row>
    <row r="13" spans="1:13" x14ac:dyDescent="0.2">
      <c r="A13" s="35"/>
      <c r="B13" s="32" t="s">
        <v>5</v>
      </c>
      <c r="C13" s="6"/>
      <c r="D13" s="139">
        <f>'Forudsætninger - bedrift'!G62*'Standard værdier'!E13</f>
        <v>0</v>
      </c>
      <c r="E13" s="143">
        <f>+'Forudsætninger - bedrift'!G104/'Standard værdier'!F13</f>
        <v>1</v>
      </c>
      <c r="F13" s="141">
        <f>D13/'Forudsætninger - bedrift'!G104*'Standard værdier'!F13</f>
        <v>0</v>
      </c>
      <c r="G13" s="142"/>
      <c r="I13" s="4"/>
      <c r="J13" s="4"/>
      <c r="K13" s="4"/>
      <c r="L13" s="4"/>
      <c r="M13" s="4"/>
    </row>
    <row r="14" spans="1:13" x14ac:dyDescent="0.2">
      <c r="A14" s="35"/>
      <c r="B14" s="32" t="s">
        <v>13</v>
      </c>
      <c r="C14" s="6"/>
      <c r="D14" s="139">
        <f>'Forudsætninger - bedrift'!G63*'Standard værdier'!E14</f>
        <v>0</v>
      </c>
      <c r="E14" s="143">
        <f>+'Forudsætninger - bedrift'!G105/'Standard værdier'!F14</f>
        <v>1</v>
      </c>
      <c r="F14" s="141">
        <f>D14/'Forudsætninger - bedrift'!G105*'Standard værdier'!F14</f>
        <v>0</v>
      </c>
      <c r="G14" s="142"/>
      <c r="I14" s="4"/>
      <c r="J14" s="4"/>
      <c r="K14" s="4"/>
      <c r="L14" s="4"/>
      <c r="M14" s="4"/>
    </row>
    <row r="15" spans="1:13" x14ac:dyDescent="0.2">
      <c r="A15" s="35"/>
      <c r="B15" s="32" t="s">
        <v>50</v>
      </c>
      <c r="C15" s="6"/>
      <c r="D15" s="139">
        <f>'Forudsætninger - bedrift'!G64*'Standard værdier'!E15</f>
        <v>5299.2</v>
      </c>
      <c r="E15" s="143">
        <f>+'Forudsætninger - bedrift'!G106/'Standard værdier'!F15</f>
        <v>0.82500000000000007</v>
      </c>
      <c r="F15" s="141">
        <f>D15/'Forudsætninger - bedrift'!G106*'Standard værdier'!F15</f>
        <v>6423.2727272727261</v>
      </c>
      <c r="G15" s="142"/>
      <c r="I15" s="4"/>
      <c r="J15" s="4"/>
      <c r="K15" s="4"/>
      <c r="L15" s="4"/>
      <c r="M15" s="4"/>
    </row>
    <row r="16" spans="1:13" x14ac:dyDescent="0.2">
      <c r="A16" s="35"/>
      <c r="B16" s="32" t="s">
        <v>3</v>
      </c>
      <c r="C16" s="6"/>
      <c r="D16" s="139">
        <f>'Forudsætninger - bedrift'!G65*'Standard værdier'!E16</f>
        <v>0</v>
      </c>
      <c r="E16" s="143">
        <f>+'Forudsætninger - bedrift'!G107/'Standard værdier'!F16</f>
        <v>2.0408163265306121E-2</v>
      </c>
      <c r="F16" s="141">
        <f>D16/'Forudsætninger - bedrift'!G107*'Standard værdier'!F16</f>
        <v>0</v>
      </c>
      <c r="G16" s="142"/>
      <c r="I16" s="4"/>
      <c r="J16" s="4"/>
    </row>
    <row r="17" spans="1:10" x14ac:dyDescent="0.2">
      <c r="A17" s="35"/>
      <c r="B17" s="32"/>
      <c r="C17" s="6"/>
      <c r="D17" s="139"/>
      <c r="E17" s="143"/>
      <c r="F17" s="141"/>
      <c r="G17" s="142"/>
      <c r="I17" s="4"/>
      <c r="J17" s="4"/>
    </row>
    <row r="18" spans="1:10" x14ac:dyDescent="0.2">
      <c r="A18" s="35"/>
      <c r="B18" s="32" t="s">
        <v>286</v>
      </c>
      <c r="C18" s="6"/>
      <c r="D18" s="139">
        <f>'Forudsætninger - bedrift'!E67*'Standard værdier'!E18</f>
        <v>0</v>
      </c>
      <c r="E18" s="143">
        <f>+'Forudsætninger - bedrift'!G109/'Standard værdier'!F18</f>
        <v>1</v>
      </c>
      <c r="F18" s="141">
        <f>D18/'Forudsætninger - bedrift'!E109*'Standard værdier'!F18</f>
        <v>0</v>
      </c>
      <c r="G18" s="142"/>
      <c r="I18" s="4"/>
      <c r="J18" s="4"/>
    </row>
    <row r="19" spans="1:10" x14ac:dyDescent="0.2">
      <c r="A19" s="35"/>
      <c r="B19" s="32" t="s">
        <v>285</v>
      </c>
      <c r="C19" s="6"/>
      <c r="D19" s="139">
        <f>'Forudsætninger - bedrift'!E68*'Standard værdier'!E19</f>
        <v>0</v>
      </c>
      <c r="E19" s="143">
        <f>+'Forudsætninger - bedrift'!G110/'Standard værdier'!F19</f>
        <v>0.83333333333333337</v>
      </c>
      <c r="F19" s="141">
        <f>D19/'Forudsætninger - bedrift'!E110*'Standard værdier'!F19</f>
        <v>0</v>
      </c>
      <c r="G19" s="142"/>
      <c r="I19" s="4"/>
      <c r="J19" s="4"/>
    </row>
    <row r="20" spans="1:10" x14ac:dyDescent="0.2">
      <c r="A20" s="35"/>
      <c r="B20" s="32" t="s">
        <v>287</v>
      </c>
      <c r="C20" s="6"/>
      <c r="D20" s="139">
        <f>'Forudsætninger - bedrift'!E69*'Standard værdier'!E20</f>
        <v>0</v>
      </c>
      <c r="E20" s="143">
        <f>+'Forudsætninger - bedrift'!G111/'Standard værdier'!F20</f>
        <v>1</v>
      </c>
      <c r="F20" s="141">
        <f>D20/'Forudsætninger - bedrift'!E111*'Standard værdier'!F20</f>
        <v>0</v>
      </c>
      <c r="G20" s="142"/>
      <c r="I20" s="4"/>
      <c r="J20" s="4"/>
    </row>
    <row r="21" spans="1:10" x14ac:dyDescent="0.2">
      <c r="A21" s="35"/>
      <c r="B21" s="32" t="s">
        <v>288</v>
      </c>
      <c r="C21" s="6"/>
      <c r="D21" s="139">
        <f>'Forudsætninger - bedrift'!E70*'Standard værdier'!E21</f>
        <v>0</v>
      </c>
      <c r="E21" s="143">
        <f>+'Forudsætninger - bedrift'!G112/'Standard værdier'!F21</f>
        <v>1</v>
      </c>
      <c r="F21" s="141">
        <f>D21/'Forudsætninger - bedrift'!E112*'Standard værdier'!F21</f>
        <v>0</v>
      </c>
      <c r="G21" s="142"/>
      <c r="I21" s="4"/>
      <c r="J21" s="4"/>
    </row>
    <row r="22" spans="1:10" x14ac:dyDescent="0.2">
      <c r="A22" s="35"/>
      <c r="B22" s="32" t="s">
        <v>289</v>
      </c>
      <c r="C22" s="6"/>
      <c r="D22" s="139">
        <f>'Forudsætninger - bedrift'!E71*'Standard værdier'!E22</f>
        <v>0</v>
      </c>
      <c r="E22" s="143">
        <f>+'Forudsætninger - bedrift'!G113/'Standard værdier'!F22</f>
        <v>1</v>
      </c>
      <c r="F22" s="141">
        <f>D22/'Forudsætninger - bedrift'!E113*'Standard værdier'!F22</f>
        <v>0</v>
      </c>
      <c r="G22" s="142"/>
      <c r="I22" s="4"/>
      <c r="J22" s="4"/>
    </row>
    <row r="23" spans="1:10" x14ac:dyDescent="0.2">
      <c r="A23" s="35"/>
      <c r="B23" s="32" t="s">
        <v>290</v>
      </c>
      <c r="C23" s="6"/>
      <c r="D23" s="139">
        <f>'Forudsætninger - bedrift'!E72*'Standard værdier'!E23</f>
        <v>0</v>
      </c>
      <c r="E23" s="143">
        <f>+'Forudsætninger - bedrift'!G114/'Standard værdier'!F23</f>
        <v>1</v>
      </c>
      <c r="F23" s="141">
        <f>D23/'Forudsætninger - bedrift'!E114*'Standard værdier'!F23</f>
        <v>0</v>
      </c>
      <c r="G23" s="142"/>
      <c r="I23" s="4"/>
      <c r="J23" s="4"/>
    </row>
    <row r="24" spans="1:10" x14ac:dyDescent="0.2">
      <c r="A24" s="35"/>
      <c r="B24" s="33" t="s">
        <v>291</v>
      </c>
      <c r="C24" s="6"/>
      <c r="D24" s="139">
        <f>'Forudsætninger - bedrift'!E73*'Standard værdier'!E24</f>
        <v>0</v>
      </c>
      <c r="E24" s="143">
        <f>+'Forudsætninger - bedrift'!G115/'Standard værdier'!F24</f>
        <v>1</v>
      </c>
      <c r="F24" s="141">
        <f>D24/'Forudsætninger - bedrift'!E115*'Standard værdier'!F24</f>
        <v>0</v>
      </c>
      <c r="G24" s="142"/>
      <c r="I24" s="4"/>
      <c r="J24" s="4"/>
    </row>
    <row r="25" spans="1:10" x14ac:dyDescent="0.2">
      <c r="A25" s="38"/>
      <c r="B25" s="39" t="s">
        <v>110</v>
      </c>
      <c r="C25" s="39"/>
      <c r="D25" s="56">
        <f>SUM(D11:D24)</f>
        <v>5299.2</v>
      </c>
      <c r="E25" s="144"/>
      <c r="F25" s="145">
        <f>SUM(F11:F24)</f>
        <v>6423.2727272727261</v>
      </c>
      <c r="G25" s="146"/>
      <c r="I25" s="4"/>
      <c r="J25" s="4"/>
    </row>
    <row r="26" spans="1:10" x14ac:dyDescent="0.2">
      <c r="A26" s="149"/>
      <c r="B26" s="150"/>
      <c r="C26" s="150"/>
      <c r="D26" s="149"/>
      <c r="E26" s="150"/>
      <c r="F26" s="150"/>
      <c r="G26" s="151"/>
      <c r="I26" s="4"/>
      <c r="J26" s="4"/>
    </row>
    <row r="27" spans="1:10" x14ac:dyDescent="0.2">
      <c r="A27" s="35"/>
      <c r="B27" s="32" t="s">
        <v>218</v>
      </c>
      <c r="C27" s="6"/>
      <c r="D27" s="139"/>
      <c r="E27" s="148"/>
      <c r="F27" s="148">
        <f>+'Forudsætninger - bedrift'!E80</f>
        <v>1.4</v>
      </c>
      <c r="G27" s="142"/>
      <c r="I27" s="4"/>
      <c r="J27" s="4"/>
    </row>
    <row r="28" spans="1:10" x14ac:dyDescent="0.2">
      <c r="A28" s="46"/>
      <c r="B28" s="33" t="s">
        <v>45</v>
      </c>
      <c r="C28" s="9"/>
      <c r="D28" s="152"/>
      <c r="E28" s="153"/>
      <c r="F28" s="154">
        <f>'Beregninger med'!H69</f>
        <v>74.999999999999986</v>
      </c>
      <c r="G28" s="155"/>
      <c r="I28" s="4"/>
      <c r="J28" s="4"/>
    </row>
    <row r="31" spans="1:10" x14ac:dyDescent="0.2">
      <c r="A31" s="42" t="s">
        <v>111</v>
      </c>
      <c r="B31" s="27"/>
      <c r="C31" s="27"/>
      <c r="D31" s="332"/>
      <c r="E31" s="334"/>
      <c r="F31" s="334"/>
      <c r="G31" s="333"/>
    </row>
    <row r="32" spans="1:10" x14ac:dyDescent="0.2">
      <c r="A32" s="44"/>
      <c r="B32" s="13"/>
      <c r="C32" s="13"/>
      <c r="D32" s="82" t="s">
        <v>54</v>
      </c>
      <c r="E32" s="84" t="s">
        <v>53</v>
      </c>
      <c r="F32" s="84" t="s">
        <v>41</v>
      </c>
      <c r="G32" s="75" t="s">
        <v>40</v>
      </c>
      <c r="I32" s="4"/>
    </row>
    <row r="33" spans="1:9" x14ac:dyDescent="0.2">
      <c r="A33" s="47"/>
      <c r="B33" s="45"/>
      <c r="C33" s="150"/>
      <c r="D33" s="159"/>
      <c r="E33" s="160"/>
      <c r="F33" s="161"/>
      <c r="G33" s="162"/>
      <c r="I33" s="4"/>
    </row>
    <row r="34" spans="1:9" x14ac:dyDescent="0.2">
      <c r="A34" s="35"/>
      <c r="B34" s="32" t="s">
        <v>4</v>
      </c>
      <c r="C34" s="6"/>
      <c r="D34" s="156">
        <f>'Standard værdier'!E30/'Standard værdier'!F11*'Forudsætninger - bedrift'!G102</f>
        <v>5.3800000000000008</v>
      </c>
      <c r="E34" s="157">
        <f>'Standard værdier'!F30/'Standard værdier'!F11*'Forudsætninger - bedrift'!G102</f>
        <v>2.27</v>
      </c>
      <c r="F34" s="147">
        <f>'Standard værdier'!G30/'Standard værdier'!F11*'Forudsætninger - bedrift'!G102</f>
        <v>0.83</v>
      </c>
      <c r="G34" s="158">
        <f>'Standard værdier'!H30/'Standard værdier'!F11*'Forudsætninger - bedrift'!G102</f>
        <v>4.22</v>
      </c>
      <c r="I34" s="4"/>
    </row>
    <row r="35" spans="1:9" x14ac:dyDescent="0.2">
      <c r="A35" s="35"/>
      <c r="B35" s="32" t="s">
        <v>12</v>
      </c>
      <c r="C35" s="6"/>
      <c r="D35" s="156">
        <f>'Standard værdier'!E31/'Standard værdier'!F12*'Forudsætninger - bedrift'!G103</f>
        <v>7.52</v>
      </c>
      <c r="E35" s="157">
        <f>'Standard værdier'!F31/'Standard værdier'!F12*'Forudsætninger - bedrift'!G103</f>
        <v>4.6500000000000004</v>
      </c>
      <c r="F35" s="147">
        <f>'Standard værdier'!G31/'Standard værdier'!F12*'Forudsætninger - bedrift'!G103</f>
        <v>1.3</v>
      </c>
      <c r="G35" s="158">
        <f>'Standard værdier'!H31/'Standard værdier'!F12*'Forudsætninger - bedrift'!G103</f>
        <v>4.45</v>
      </c>
      <c r="I35" s="4"/>
    </row>
    <row r="36" spans="1:9" x14ac:dyDescent="0.2">
      <c r="A36" s="35"/>
      <c r="B36" s="32" t="s">
        <v>5</v>
      </c>
      <c r="C36" s="6"/>
      <c r="D36" s="156">
        <f>'Standard værdier'!E32/'Standard værdier'!F13*'Forudsætninger - bedrift'!G104</f>
        <v>3.88</v>
      </c>
      <c r="E36" s="157">
        <f>'Standard værdier'!F32/'Standard værdier'!F13*'Forudsætninger - bedrift'!G104</f>
        <v>2.76</v>
      </c>
      <c r="F36" s="147">
        <f>'Standard værdier'!G32/'Standard værdier'!F13*'Forudsætninger - bedrift'!G104</f>
        <v>0.96</v>
      </c>
      <c r="G36" s="158">
        <f>'Standard værdier'!H32/'Standard værdier'!F13*'Forudsætninger - bedrift'!G104</f>
        <v>1.74</v>
      </c>
      <c r="I36" s="4"/>
    </row>
    <row r="37" spans="1:9" x14ac:dyDescent="0.2">
      <c r="A37" s="35"/>
      <c r="B37" s="32" t="s">
        <v>13</v>
      </c>
      <c r="C37" s="6"/>
      <c r="D37" s="156">
        <f>'Standard værdier'!E33/'Standard værdier'!F14*'Forudsætninger - bedrift'!G105</f>
        <v>3.14</v>
      </c>
      <c r="E37" s="157">
        <f>'Standard værdier'!F33/'Standard værdier'!F14*'Forudsætninger - bedrift'!G105</f>
        <v>1.63</v>
      </c>
      <c r="F37" s="147">
        <f>'Standard værdier'!G33/'Standard værdier'!F14*'Forudsætninger - bedrift'!G105</f>
        <v>1.02</v>
      </c>
      <c r="G37" s="158">
        <f>'Standard værdier'!H33/'Standard værdier'!F14*'Forudsætninger - bedrift'!G105</f>
        <v>2.14</v>
      </c>
      <c r="I37" s="4"/>
    </row>
    <row r="38" spans="1:9" x14ac:dyDescent="0.2">
      <c r="A38" s="35"/>
      <c r="B38" s="32" t="s">
        <v>50</v>
      </c>
      <c r="C38" s="6"/>
      <c r="D38" s="156">
        <f>'Standard værdier'!E34/'Standard værdier'!F15*'Forudsætninger - bedrift'!G106</f>
        <v>4.4055</v>
      </c>
      <c r="E38" s="157">
        <f>'Standard værdier'!F34/'Standard værdier'!F15*'Forudsætninger - bedrift'!G106</f>
        <v>2.7472500000000002</v>
      </c>
      <c r="F38" s="147">
        <f>'Standard værdier'!G34/'Standard værdier'!F15*'Forudsætninger - bedrift'!G106</f>
        <v>0.98175000000000001</v>
      </c>
      <c r="G38" s="158">
        <f>'Standard værdier'!H34/'Standard værdier'!F15*'Forudsætninger - bedrift'!G106</f>
        <v>2.3017500000000002</v>
      </c>
      <c r="I38" s="4"/>
    </row>
    <row r="39" spans="1:9" x14ac:dyDescent="0.2">
      <c r="A39" s="35"/>
      <c r="B39" s="32" t="s">
        <v>3</v>
      </c>
      <c r="C39" s="6"/>
      <c r="D39" s="156">
        <f>'Standard værdier'!E35/'Standard værdier'!F16*'Forudsætninger - bedrift'!G107</f>
        <v>0.12306122448979591</v>
      </c>
      <c r="E39" s="157">
        <f>'Standard værdier'!F35/'Standard værdier'!F16*'Forudsætninger - bedrift'!G107</f>
        <v>7.3673469387755097E-2</v>
      </c>
      <c r="F39" s="147">
        <f>'Standard værdier'!G35/'Standard værdier'!F16*'Forudsætninger - bedrift'!G107</f>
        <v>3.0816326530612243E-2</v>
      </c>
      <c r="G39" s="158">
        <f>'Standard værdier'!H35/'Standard værdier'!F16*'Forudsætninger - bedrift'!G107</f>
        <v>1.9183673469387753E-2</v>
      </c>
      <c r="I39" s="4"/>
    </row>
    <row r="40" spans="1:9" x14ac:dyDescent="0.2">
      <c r="A40" s="35"/>
      <c r="B40" s="32"/>
      <c r="C40" s="6"/>
      <c r="D40" s="156"/>
      <c r="E40" s="157"/>
      <c r="F40" s="147"/>
      <c r="G40" s="158"/>
      <c r="I40" s="4"/>
    </row>
    <row r="41" spans="1:9" x14ac:dyDescent="0.2">
      <c r="A41" s="35"/>
      <c r="B41" s="32" t="s">
        <v>286</v>
      </c>
      <c r="C41" s="6"/>
      <c r="D41" s="156">
        <f>'Standard værdier'!E37/'Standard værdier'!F18*'Forudsætninger - bedrift'!G109</f>
        <v>9.4499999999999993</v>
      </c>
      <c r="E41" s="157">
        <f>'Standard værdier'!F37/'Standard værdier'!F18*'Forudsætninger - bedrift'!G109</f>
        <v>1.8900000000000001</v>
      </c>
      <c r="F41" s="147">
        <f>'Standard værdier'!G37/'Standard værdier'!F18*'Forudsætninger - bedrift'!G109</f>
        <v>1.46</v>
      </c>
      <c r="G41" s="158">
        <f>'Standard værdier'!H37/'Standard værdier'!F18*'Forudsætninger - bedrift'!G109</f>
        <v>10.07</v>
      </c>
      <c r="I41" s="4"/>
    </row>
    <row r="42" spans="1:9" x14ac:dyDescent="0.2">
      <c r="A42" s="35"/>
      <c r="B42" s="32" t="s">
        <v>285</v>
      </c>
      <c r="C42" s="6"/>
      <c r="D42" s="156">
        <f>'Standard værdier'!E38/'Standard værdier'!F19*'Forudsætninger - bedrift'!G110</f>
        <v>10.549999999999999</v>
      </c>
      <c r="E42" s="157">
        <f>'Standard værdier'!F38/'Standard værdier'!F19*'Forudsætninger - bedrift'!G110</f>
        <v>2.1083333333333334</v>
      </c>
      <c r="F42" s="147">
        <f>'Standard værdier'!G38/'Standard værdier'!F19*'Forudsætninger - bedrift'!G110</f>
        <v>1.1333333333333333</v>
      </c>
      <c r="G42" s="158">
        <f>'Standard værdier'!H38/'Standard værdier'!F19*'Forudsætninger - bedrift'!G110</f>
        <v>13.25</v>
      </c>
      <c r="I42" s="4"/>
    </row>
    <row r="43" spans="1:9" x14ac:dyDescent="0.2">
      <c r="A43" s="35"/>
      <c r="B43" s="32" t="s">
        <v>287</v>
      </c>
      <c r="C43" s="6"/>
      <c r="D43" s="156">
        <f>'Standard værdier'!E39/'Standard værdier'!F20*'Forudsætninger - bedrift'!G111</f>
        <v>11.16</v>
      </c>
      <c r="E43" s="157">
        <f>'Standard værdier'!F39/'Standard værdier'!F20*'Forudsætninger - bedrift'!G111</f>
        <v>2.79</v>
      </c>
      <c r="F43" s="147">
        <f>'Standard værdier'!G39/'Standard værdier'!F20*'Forudsætninger - bedrift'!G111</f>
        <v>3.55</v>
      </c>
      <c r="G43" s="158">
        <f>'Standard værdier'!H39/'Standard værdier'!F20*'Forudsætninger - bedrift'!G111</f>
        <v>12.88</v>
      </c>
      <c r="I43" s="4"/>
    </row>
    <row r="44" spans="1:9" x14ac:dyDescent="0.2">
      <c r="A44" s="35"/>
      <c r="B44" s="32" t="s">
        <v>288</v>
      </c>
      <c r="C44" s="6"/>
      <c r="D44" s="156">
        <f>'Standard værdier'!E40/'Standard værdier'!F21*'Forudsætninger - bedrift'!G112</f>
        <v>9.09</v>
      </c>
      <c r="E44" s="157">
        <f>'Standard værdier'!F40/'Standard værdier'!F21*'Forudsætninger - bedrift'!G112</f>
        <v>4.38</v>
      </c>
      <c r="F44" s="147">
        <f>'Standard værdier'!G40/'Standard værdier'!F21*'Forudsætninger - bedrift'!G112</f>
        <v>2.95</v>
      </c>
      <c r="G44" s="158">
        <f>'Standard værdier'!H40/'Standard værdier'!F21*'Forudsætninger - bedrift'!G112</f>
        <v>1.83</v>
      </c>
      <c r="I44" s="4"/>
    </row>
    <row r="45" spans="1:9" x14ac:dyDescent="0.2">
      <c r="A45" s="35"/>
      <c r="B45" s="32" t="s">
        <v>289</v>
      </c>
      <c r="C45" s="6"/>
      <c r="D45" s="156">
        <f>'Standard værdier'!E41/'Standard værdier'!F22*'Forudsætninger - bedrift'!G113</f>
        <v>21.86</v>
      </c>
      <c r="E45" s="157">
        <f>'Standard værdier'!F41/'Standard værdier'!F22*'Forudsætninger - bedrift'!G113</f>
        <v>6.56</v>
      </c>
      <c r="F45" s="147">
        <f>'Standard værdier'!G41/'Standard værdier'!F22*'Forudsætninger - bedrift'!G113</f>
        <v>8</v>
      </c>
      <c r="G45" s="158">
        <f>'Standard værdier'!H41/'Standard værdier'!F22*'Forudsætninger - bedrift'!G113</f>
        <v>14.39</v>
      </c>
      <c r="I45" s="4"/>
    </row>
    <row r="46" spans="1:9" x14ac:dyDescent="0.2">
      <c r="A46" s="35"/>
      <c r="B46" s="32" t="s">
        <v>290</v>
      </c>
      <c r="C46" s="6"/>
      <c r="D46" s="156">
        <f>'Standard værdier'!E42/'Standard værdier'!F23*'Forudsætninger - bedrift'!G114</f>
        <v>18.440000000000001</v>
      </c>
      <c r="E46" s="157">
        <f>'Standard værdier'!F42/'Standard værdier'!F23*'Forudsætninger - bedrift'!G114</f>
        <v>6.45</v>
      </c>
      <c r="F46" s="147">
        <f>'Standard værdier'!G42/'Standard værdier'!F23*'Forudsætninger - bedrift'!G114</f>
        <v>5.58</v>
      </c>
      <c r="G46" s="158">
        <f>'Standard værdier'!H42/'Standard værdier'!F23*'Forudsætninger - bedrift'!G114</f>
        <v>9.15</v>
      </c>
      <c r="I46" s="4"/>
    </row>
    <row r="47" spans="1:9" x14ac:dyDescent="0.2">
      <c r="A47" s="46"/>
      <c r="B47" s="33" t="s">
        <v>291</v>
      </c>
      <c r="C47" s="9"/>
      <c r="D47" s="163">
        <f>'Standard værdier'!E43/'Standard værdier'!F24*'Forudsætninger - bedrift'!G115</f>
        <v>8.52</v>
      </c>
      <c r="E47" s="164">
        <f>'Standard værdier'!F43/'Standard værdier'!F24*'Forudsætninger - bedrift'!G115</f>
        <v>2.13</v>
      </c>
      <c r="F47" s="165">
        <f>'Standard værdier'!G43/'Standard værdier'!F24*'Forudsætninger - bedrift'!G115</f>
        <v>1.76</v>
      </c>
      <c r="G47" s="166">
        <f>'Standard værdier'!H43/'Standard værdier'!F24*'Forudsætninger - bedrift'!G115</f>
        <v>13.420000000000002</v>
      </c>
      <c r="I47" s="4"/>
    </row>
    <row r="48" spans="1:9" x14ac:dyDescent="0.2">
      <c r="B48" s="69"/>
    </row>
    <row r="50" spans="1:8" x14ac:dyDescent="0.2">
      <c r="A50" s="42" t="s">
        <v>112</v>
      </c>
      <c r="B50" s="27"/>
      <c r="C50" s="27"/>
      <c r="D50" s="66"/>
      <c r="E50" s="107"/>
      <c r="F50" s="107"/>
      <c r="G50" s="107"/>
      <c r="H50" s="167"/>
    </row>
    <row r="51" spans="1:8" ht="38.25" x14ac:dyDescent="0.2">
      <c r="A51" s="44"/>
      <c r="B51" s="13"/>
      <c r="C51" s="13"/>
      <c r="D51" s="82" t="s">
        <v>54</v>
      </c>
      <c r="E51" s="84" t="s">
        <v>53</v>
      </c>
      <c r="F51" s="84" t="s">
        <v>41</v>
      </c>
      <c r="G51" s="84" t="s">
        <v>40</v>
      </c>
      <c r="H51" s="168" t="s">
        <v>113</v>
      </c>
    </row>
    <row r="52" spans="1:8" x14ac:dyDescent="0.2">
      <c r="A52" s="47"/>
      <c r="B52" s="45"/>
      <c r="C52" s="150"/>
      <c r="D52" s="149"/>
      <c r="E52" s="160"/>
      <c r="F52" s="160"/>
      <c r="G52" s="162"/>
      <c r="H52" s="170"/>
    </row>
    <row r="53" spans="1:8" x14ac:dyDescent="0.2">
      <c r="A53" s="35"/>
      <c r="B53" s="32" t="s">
        <v>4</v>
      </c>
      <c r="C53" s="6"/>
      <c r="D53" s="169">
        <f>'Beregninger med'!F11*'Beregninger med'!D34</f>
        <v>0</v>
      </c>
      <c r="E53" s="140">
        <f>'Beregninger med'!F11*'Beregninger med'!E34</f>
        <v>0</v>
      </c>
      <c r="F53" s="140">
        <f>'Beregninger med'!F11*'Beregninger med'!F34</f>
        <v>0</v>
      </c>
      <c r="G53" s="142">
        <f>'Beregninger med'!F11*'Beregninger med'!G34</f>
        <v>0</v>
      </c>
      <c r="H53" s="171">
        <f>D53/100*'Forudsætninger - bedrift'!H60</f>
        <v>0</v>
      </c>
    </row>
    <row r="54" spans="1:8" x14ac:dyDescent="0.2">
      <c r="A54" s="35"/>
      <c r="B54" s="32" t="s">
        <v>12</v>
      </c>
      <c r="C54" s="6"/>
      <c r="D54" s="169">
        <f>'Beregninger med'!F12*'Beregninger med'!D35</f>
        <v>0</v>
      </c>
      <c r="E54" s="140">
        <f>'Beregninger med'!F12*'Beregninger med'!E35</f>
        <v>0</v>
      </c>
      <c r="F54" s="140">
        <f>'Beregninger med'!F12*'Beregninger med'!F35</f>
        <v>0</v>
      </c>
      <c r="G54" s="142">
        <f>'Beregninger med'!F12*'Beregninger med'!G35</f>
        <v>0</v>
      </c>
      <c r="H54" s="171">
        <f>D54/100*'Forudsætninger - bedrift'!H61</f>
        <v>0</v>
      </c>
    </row>
    <row r="55" spans="1:8" x14ac:dyDescent="0.2">
      <c r="A55" s="35"/>
      <c r="B55" s="32" t="s">
        <v>5</v>
      </c>
      <c r="C55" s="6"/>
      <c r="D55" s="169">
        <f>'Beregninger med'!F13*'Beregninger med'!D36</f>
        <v>0</v>
      </c>
      <c r="E55" s="140">
        <f>'Beregninger med'!F13*'Beregninger med'!E36</f>
        <v>0</v>
      </c>
      <c r="F55" s="140">
        <f>'Beregninger med'!F13*'Beregninger med'!F36</f>
        <v>0</v>
      </c>
      <c r="G55" s="142">
        <f>'Beregninger med'!F13*'Beregninger med'!G36</f>
        <v>0</v>
      </c>
      <c r="H55" s="171">
        <f>D55/100*'Forudsætninger - bedrift'!H62</f>
        <v>0</v>
      </c>
    </row>
    <row r="56" spans="1:8" x14ac:dyDescent="0.2">
      <c r="A56" s="35"/>
      <c r="B56" s="32" t="s">
        <v>13</v>
      </c>
      <c r="C56" s="6"/>
      <c r="D56" s="169">
        <f>'Beregninger med'!F14*'Beregninger med'!D37</f>
        <v>0</v>
      </c>
      <c r="E56" s="140">
        <f>'Beregninger med'!F14*'Beregninger med'!E37</f>
        <v>0</v>
      </c>
      <c r="F56" s="140">
        <f>'Beregninger med'!F14*'Beregninger med'!F37</f>
        <v>0</v>
      </c>
      <c r="G56" s="142">
        <f>'Beregninger med'!F14*'Beregninger med'!G37</f>
        <v>0</v>
      </c>
      <c r="H56" s="171">
        <f>D56/100*'Forudsætninger - bedrift'!H63</f>
        <v>0</v>
      </c>
    </row>
    <row r="57" spans="1:8" x14ac:dyDescent="0.2">
      <c r="A57" s="35"/>
      <c r="B57" s="32" t="s">
        <v>50</v>
      </c>
      <c r="C57" s="6"/>
      <c r="D57" s="169">
        <f>'Beregninger med'!F15*'Beregninger med'!D38</f>
        <v>28297.727999999996</v>
      </c>
      <c r="E57" s="140">
        <f>'Beregninger med'!F15*'Beregninger med'!E38</f>
        <v>17646.335999999999</v>
      </c>
      <c r="F57" s="140">
        <f>'Beregninger med'!F15*'Beregninger med'!F38</f>
        <v>6306.0479999999989</v>
      </c>
      <c r="G57" s="142">
        <f>'Beregninger med'!F15*'Beregninger med'!G38</f>
        <v>14784.767999999998</v>
      </c>
      <c r="H57" s="171">
        <f>D57/100*'Forudsætninger - bedrift'!H64</f>
        <v>21223.295999999995</v>
      </c>
    </row>
    <row r="58" spans="1:8" x14ac:dyDescent="0.2">
      <c r="A58" s="35"/>
      <c r="B58" s="32" t="s">
        <v>3</v>
      </c>
      <c r="C58" s="6"/>
      <c r="D58" s="169">
        <f>'Beregninger med'!F16*'Beregninger med'!D39</f>
        <v>0</v>
      </c>
      <c r="E58" s="140">
        <f>'Beregninger med'!F16*'Beregninger med'!E39</f>
        <v>0</v>
      </c>
      <c r="F58" s="140">
        <f>'Beregninger med'!F16*'Beregninger med'!F39</f>
        <v>0</v>
      </c>
      <c r="G58" s="142">
        <f>'Beregninger med'!F16*'Beregninger med'!G39</f>
        <v>0</v>
      </c>
      <c r="H58" s="171">
        <f>D58/100*'Forudsætninger - bedrift'!H65</f>
        <v>0</v>
      </c>
    </row>
    <row r="59" spans="1:8" x14ac:dyDescent="0.2">
      <c r="A59" s="35"/>
      <c r="B59" s="32"/>
      <c r="C59" s="6"/>
      <c r="D59" s="169"/>
      <c r="E59" s="140"/>
      <c r="F59" s="140"/>
      <c r="G59" s="142"/>
      <c r="H59" s="171"/>
    </row>
    <row r="60" spans="1:8" x14ac:dyDescent="0.2">
      <c r="A60" s="35"/>
      <c r="B60" s="32" t="s">
        <v>286</v>
      </c>
      <c r="C60" s="6"/>
      <c r="D60" s="169">
        <f>'Beregninger med'!F18*'Beregninger med'!D41</f>
        <v>0</v>
      </c>
      <c r="E60" s="140">
        <f>'Beregninger med'!F18*'Beregninger med'!E41</f>
        <v>0</v>
      </c>
      <c r="F60" s="140">
        <f>'Beregninger med'!F18*'Beregninger med'!F41</f>
        <v>0</v>
      </c>
      <c r="G60" s="142">
        <f>'Beregninger med'!F18*'Beregninger med'!G41</f>
        <v>0</v>
      </c>
      <c r="H60" s="171">
        <f>D60/100*'Forudsætninger - bedrift'!H67</f>
        <v>0</v>
      </c>
    </row>
    <row r="61" spans="1:8" x14ac:dyDescent="0.2">
      <c r="A61" s="35"/>
      <c r="B61" s="32" t="s">
        <v>285</v>
      </c>
      <c r="C61" s="6"/>
      <c r="D61" s="169">
        <f>'Beregninger med'!F19*'Beregninger med'!D42</f>
        <v>0</v>
      </c>
      <c r="E61" s="140">
        <f>'Beregninger med'!F19*'Beregninger med'!E42</f>
        <v>0</v>
      </c>
      <c r="F61" s="140">
        <f>'Beregninger med'!F19*'Beregninger med'!F42</f>
        <v>0</v>
      </c>
      <c r="G61" s="142">
        <f>'Beregninger med'!F19*'Beregninger med'!G42</f>
        <v>0</v>
      </c>
      <c r="H61" s="171">
        <f>D61/100*'Forudsætninger - bedrift'!H68</f>
        <v>0</v>
      </c>
    </row>
    <row r="62" spans="1:8" x14ac:dyDescent="0.2">
      <c r="A62" s="35"/>
      <c r="B62" s="32" t="s">
        <v>287</v>
      </c>
      <c r="C62" s="6"/>
      <c r="D62" s="169">
        <f>'Beregninger med'!F20*'Beregninger med'!D43</f>
        <v>0</v>
      </c>
      <c r="E62" s="140">
        <f>'Beregninger med'!F20*'Beregninger med'!E43</f>
        <v>0</v>
      </c>
      <c r="F62" s="140">
        <f>'Beregninger med'!F20*'Beregninger med'!F43</f>
        <v>0</v>
      </c>
      <c r="G62" s="142">
        <f>'Beregninger med'!F20*'Beregninger med'!G43</f>
        <v>0</v>
      </c>
      <c r="H62" s="171">
        <f>D62/100*'Forudsætninger - bedrift'!H69</f>
        <v>0</v>
      </c>
    </row>
    <row r="63" spans="1:8" x14ac:dyDescent="0.2">
      <c r="A63" s="35"/>
      <c r="B63" s="32" t="s">
        <v>288</v>
      </c>
      <c r="C63" s="6"/>
      <c r="D63" s="169">
        <f>'Beregninger med'!F21*'Beregninger med'!D44</f>
        <v>0</v>
      </c>
      <c r="E63" s="140">
        <f>'Beregninger med'!F21*'Beregninger med'!E44</f>
        <v>0</v>
      </c>
      <c r="F63" s="140">
        <f>'Beregninger med'!F21*'Beregninger med'!F44</f>
        <v>0</v>
      </c>
      <c r="G63" s="142">
        <f>'Beregninger med'!F21*'Beregninger med'!G44</f>
        <v>0</v>
      </c>
      <c r="H63" s="171">
        <f>D63/100*'Forudsætninger - bedrift'!H70</f>
        <v>0</v>
      </c>
    </row>
    <row r="64" spans="1:8" x14ac:dyDescent="0.2">
      <c r="A64" s="35"/>
      <c r="B64" s="32" t="s">
        <v>289</v>
      </c>
      <c r="C64" s="6"/>
      <c r="D64" s="169">
        <f>'Beregninger med'!F22*'Beregninger med'!D45</f>
        <v>0</v>
      </c>
      <c r="E64" s="140">
        <f>'Beregninger med'!F22*'Beregninger med'!E45</f>
        <v>0</v>
      </c>
      <c r="F64" s="140">
        <f>'Beregninger med'!F22*'Beregninger med'!F45</f>
        <v>0</v>
      </c>
      <c r="G64" s="142">
        <f>'Beregninger med'!F22*'Beregninger med'!G45</f>
        <v>0</v>
      </c>
      <c r="H64" s="171">
        <f>D64/100*'Forudsætninger - bedrift'!H71</f>
        <v>0</v>
      </c>
    </row>
    <row r="65" spans="1:10" x14ac:dyDescent="0.2">
      <c r="A65" s="35"/>
      <c r="B65" s="32" t="s">
        <v>290</v>
      </c>
      <c r="C65" s="6"/>
      <c r="D65" s="169">
        <f>'Beregninger med'!F23*'Beregninger med'!D46</f>
        <v>0</v>
      </c>
      <c r="E65" s="140">
        <f>'Beregninger med'!F23*'Beregninger med'!E46</f>
        <v>0</v>
      </c>
      <c r="F65" s="140">
        <f>'Beregninger med'!F23*'Beregninger med'!F46</f>
        <v>0</v>
      </c>
      <c r="G65" s="142">
        <f>'Beregninger med'!F23*'Beregninger med'!G46</f>
        <v>0</v>
      </c>
      <c r="H65" s="171">
        <f>D65/100*'Forudsætninger - bedrift'!H72</f>
        <v>0</v>
      </c>
    </row>
    <row r="66" spans="1:10" x14ac:dyDescent="0.2">
      <c r="A66" s="46"/>
      <c r="B66" s="33" t="s">
        <v>291</v>
      </c>
      <c r="C66" s="9"/>
      <c r="D66" s="172">
        <f>'Beregninger med'!F24*'Beregninger med'!D47</f>
        <v>0</v>
      </c>
      <c r="E66" s="153">
        <f>'Beregninger med'!F24*'Beregninger med'!E47</f>
        <v>0</v>
      </c>
      <c r="F66" s="153">
        <f>'Beregninger med'!F24*'Beregninger med'!F47</f>
        <v>0</v>
      </c>
      <c r="G66" s="155">
        <f>'Beregninger med'!F24*'Beregninger med'!G47</f>
        <v>0</v>
      </c>
      <c r="H66" s="173">
        <f>D66/100*'Forudsætninger - bedrift'!H73</f>
        <v>0</v>
      </c>
    </row>
    <row r="67" spans="1:10" x14ac:dyDescent="0.2">
      <c r="A67" s="38"/>
      <c r="B67" s="39" t="s">
        <v>49</v>
      </c>
      <c r="C67" s="39"/>
      <c r="D67" s="56">
        <f>SUM(D53:D66)</f>
        <v>28297.727999999996</v>
      </c>
      <c r="E67" s="144">
        <f t="shared" ref="E67:H67" si="0">SUM(E53:E66)</f>
        <v>17646.335999999999</v>
      </c>
      <c r="F67" s="144">
        <f t="shared" si="0"/>
        <v>6306.0479999999989</v>
      </c>
      <c r="G67" s="146">
        <f t="shared" si="0"/>
        <v>14784.767999999998</v>
      </c>
      <c r="H67" s="179">
        <f t="shared" si="0"/>
        <v>21223.295999999995</v>
      </c>
    </row>
    <row r="68" spans="1:10" x14ac:dyDescent="0.2">
      <c r="A68" s="99"/>
      <c r="B68" s="80"/>
      <c r="C68" s="80"/>
      <c r="D68" s="99"/>
      <c r="E68" s="174"/>
      <c r="F68" s="174"/>
      <c r="G68" s="175"/>
      <c r="H68" s="176"/>
    </row>
    <row r="69" spans="1:10" x14ac:dyDescent="0.2">
      <c r="A69" s="35"/>
      <c r="B69" s="80" t="s">
        <v>48</v>
      </c>
      <c r="C69" s="80"/>
      <c r="D69" s="100">
        <f>D67/'Beregninger med'!F25</f>
        <v>4.4055</v>
      </c>
      <c r="E69" s="174">
        <f>E67/'Beregninger med'!F25</f>
        <v>2.7472500000000002</v>
      </c>
      <c r="F69" s="174">
        <f>F67/'Beregninger med'!F25</f>
        <v>0.98175000000000001</v>
      </c>
      <c r="G69" s="175">
        <f>G67/'Beregninger med'!F25</f>
        <v>2.3017500000000002</v>
      </c>
      <c r="H69" s="197">
        <f>H67/D67*100</f>
        <v>74.999999999999986</v>
      </c>
    </row>
    <row r="70" spans="1:10" x14ac:dyDescent="0.2">
      <c r="A70" s="35"/>
      <c r="B70" s="80" t="s">
        <v>47</v>
      </c>
      <c r="C70" s="80"/>
      <c r="D70" s="100">
        <f>D67/'Forudsætninger - bedrift'!G74</f>
        <v>98.255999999999986</v>
      </c>
      <c r="E70" s="174">
        <f>E67/'Forudsætninger - bedrift'!G74</f>
        <v>61.271999999999998</v>
      </c>
      <c r="F70" s="174">
        <f>F67/'Forudsætninger - bedrift'!G74</f>
        <v>21.895999999999997</v>
      </c>
      <c r="G70" s="175">
        <f>G67/'Forudsætninger - bedrift'!G74</f>
        <v>51.335999999999991</v>
      </c>
      <c r="H70" s="176"/>
    </row>
    <row r="71" spans="1:10" x14ac:dyDescent="0.2">
      <c r="A71" s="35"/>
      <c r="B71" s="80" t="s">
        <v>46</v>
      </c>
      <c r="C71" s="80"/>
      <c r="D71" s="100">
        <f>D70*'Beregninger med'!F27</f>
        <v>137.55839999999998</v>
      </c>
      <c r="E71" s="174"/>
      <c r="F71" s="174"/>
      <c r="G71" s="175"/>
      <c r="H71" s="176"/>
    </row>
    <row r="72" spans="1:10" x14ac:dyDescent="0.2">
      <c r="A72" s="46"/>
      <c r="B72" s="180" t="s">
        <v>45</v>
      </c>
      <c r="C72" s="180"/>
      <c r="D72" s="181">
        <f>D71/100*'Beregninger med'!F28</f>
        <v>103.16879999999996</v>
      </c>
      <c r="E72" s="182"/>
      <c r="F72" s="182"/>
      <c r="G72" s="183"/>
      <c r="H72" s="184"/>
      <c r="I72" s="73"/>
      <c r="J72" s="73"/>
    </row>
    <row r="75" spans="1:10" x14ac:dyDescent="0.2">
      <c r="A75" s="42" t="s">
        <v>105</v>
      </c>
      <c r="B75" s="27"/>
      <c r="C75" s="27"/>
      <c r="D75" s="66"/>
      <c r="E75" s="107"/>
      <c r="F75" s="107"/>
      <c r="G75" s="67"/>
    </row>
    <row r="76" spans="1:10" x14ac:dyDescent="0.2">
      <c r="A76" s="44"/>
      <c r="B76" s="13"/>
      <c r="C76" s="13"/>
      <c r="D76" s="82" t="s">
        <v>54</v>
      </c>
      <c r="E76" s="84" t="s">
        <v>53</v>
      </c>
      <c r="F76" s="84" t="s">
        <v>52</v>
      </c>
      <c r="G76" s="75" t="s">
        <v>51</v>
      </c>
    </row>
    <row r="77" spans="1:10" x14ac:dyDescent="0.2">
      <c r="A77" s="47"/>
      <c r="B77" s="45"/>
      <c r="C77" s="150"/>
      <c r="D77" s="149"/>
      <c r="E77" s="160"/>
      <c r="F77" s="160"/>
      <c r="G77" s="162"/>
    </row>
    <row r="78" spans="1:10" x14ac:dyDescent="0.2">
      <c r="A78" s="35"/>
      <c r="B78" s="32" t="s">
        <v>4</v>
      </c>
      <c r="C78" s="6"/>
      <c r="D78" s="169"/>
      <c r="E78" s="140"/>
      <c r="F78" s="140">
        <f>F53*'Standard værdier'!G49</f>
        <v>0</v>
      </c>
      <c r="G78" s="142">
        <f>G53*'Standard værdier'!H49</f>
        <v>0</v>
      </c>
    </row>
    <row r="79" spans="1:10" x14ac:dyDescent="0.2">
      <c r="A79" s="35"/>
      <c r="B79" s="32" t="s">
        <v>12</v>
      </c>
      <c r="C79" s="6"/>
      <c r="D79" s="169"/>
      <c r="E79" s="140"/>
      <c r="F79" s="140">
        <f>F54*'Standard værdier'!G50</f>
        <v>0</v>
      </c>
      <c r="G79" s="142">
        <f>G54*'Standard værdier'!H50</f>
        <v>0</v>
      </c>
    </row>
    <row r="80" spans="1:10" x14ac:dyDescent="0.2">
      <c r="A80" s="35"/>
      <c r="B80" s="32" t="s">
        <v>5</v>
      </c>
      <c r="C80" s="6"/>
      <c r="D80" s="169"/>
      <c r="E80" s="140"/>
      <c r="F80" s="140">
        <f>F55*'Standard værdier'!G51</f>
        <v>0</v>
      </c>
      <c r="G80" s="142">
        <f>G55*'Standard værdier'!H51</f>
        <v>0</v>
      </c>
    </row>
    <row r="81" spans="1:7" x14ac:dyDescent="0.2">
      <c r="A81" s="35"/>
      <c r="B81" s="32" t="s">
        <v>13</v>
      </c>
      <c r="C81" s="6"/>
      <c r="D81" s="169"/>
      <c r="E81" s="140"/>
      <c r="F81" s="140">
        <f>F56*'Standard værdier'!G52</f>
        <v>0</v>
      </c>
      <c r="G81" s="142">
        <f>G56*'Standard værdier'!H52</f>
        <v>0</v>
      </c>
    </row>
    <row r="82" spans="1:7" x14ac:dyDescent="0.2">
      <c r="A82" s="35"/>
      <c r="B82" s="32" t="s">
        <v>50</v>
      </c>
      <c r="C82" s="6"/>
      <c r="D82" s="169"/>
      <c r="E82" s="140"/>
      <c r="F82" s="140">
        <f>F57*'Standard værdier'!G53</f>
        <v>4414.2335999999987</v>
      </c>
      <c r="G82" s="142">
        <f>G57*'Standard værdier'!H53</f>
        <v>11827.814399999999</v>
      </c>
    </row>
    <row r="83" spans="1:7" x14ac:dyDescent="0.2">
      <c r="A83" s="35"/>
      <c r="B83" s="32" t="s">
        <v>3</v>
      </c>
      <c r="C83" s="6"/>
      <c r="D83" s="169"/>
      <c r="E83" s="140"/>
      <c r="F83" s="140">
        <f>F58*'Standard værdier'!G54</f>
        <v>0</v>
      </c>
      <c r="G83" s="142">
        <f>G58*'Standard værdier'!H54</f>
        <v>0</v>
      </c>
    </row>
    <row r="84" spans="1:7" x14ac:dyDescent="0.2">
      <c r="A84" s="35"/>
      <c r="B84" s="32"/>
      <c r="C84" s="6"/>
      <c r="D84" s="169"/>
      <c r="E84" s="140"/>
      <c r="F84" s="140"/>
      <c r="G84" s="142"/>
    </row>
    <row r="85" spans="1:7" x14ac:dyDescent="0.2">
      <c r="A85" s="35"/>
      <c r="B85" s="32" t="s">
        <v>286</v>
      </c>
      <c r="C85" s="6"/>
      <c r="D85" s="169"/>
      <c r="E85" s="140"/>
      <c r="F85" s="140">
        <f>F60*'Standard værdier'!G56</f>
        <v>0</v>
      </c>
      <c r="G85" s="142">
        <f>G60*'Standard værdier'!H56</f>
        <v>0</v>
      </c>
    </row>
    <row r="86" spans="1:7" x14ac:dyDescent="0.2">
      <c r="A86" s="35"/>
      <c r="B86" s="32" t="s">
        <v>285</v>
      </c>
      <c r="C86" s="6"/>
      <c r="D86" s="169"/>
      <c r="E86" s="140"/>
      <c r="F86" s="140">
        <f>F61*'Standard værdier'!G57</f>
        <v>0</v>
      </c>
      <c r="G86" s="142">
        <f>G61*'Standard værdier'!H57</f>
        <v>0</v>
      </c>
    </row>
    <row r="87" spans="1:7" x14ac:dyDescent="0.2">
      <c r="A87" s="35"/>
      <c r="B87" s="32" t="s">
        <v>287</v>
      </c>
      <c r="C87" s="6"/>
      <c r="D87" s="169"/>
      <c r="E87" s="140"/>
      <c r="F87" s="140">
        <f>F62*'Standard værdier'!G58</f>
        <v>0</v>
      </c>
      <c r="G87" s="142">
        <f>G62*'Standard værdier'!H58</f>
        <v>0</v>
      </c>
    </row>
    <row r="88" spans="1:7" x14ac:dyDescent="0.2">
      <c r="A88" s="35"/>
      <c r="B88" s="32" t="s">
        <v>288</v>
      </c>
      <c r="C88" s="6"/>
      <c r="D88" s="169"/>
      <c r="E88" s="140"/>
      <c r="F88" s="140">
        <f>F63*'Standard værdier'!G59</f>
        <v>0</v>
      </c>
      <c r="G88" s="142">
        <f>G63*'Standard værdier'!H59</f>
        <v>0</v>
      </c>
    </row>
    <row r="89" spans="1:7" x14ac:dyDescent="0.2">
      <c r="A89" s="35"/>
      <c r="B89" s="32" t="s">
        <v>289</v>
      </c>
      <c r="C89" s="6"/>
      <c r="D89" s="169"/>
      <c r="E89" s="140"/>
      <c r="F89" s="140">
        <f>F64*'Standard værdier'!G60</f>
        <v>0</v>
      </c>
      <c r="G89" s="142">
        <f>G64*'Standard værdier'!H60</f>
        <v>0</v>
      </c>
    </row>
    <row r="90" spans="1:7" x14ac:dyDescent="0.2">
      <c r="A90" s="35"/>
      <c r="B90" s="32" t="s">
        <v>290</v>
      </c>
      <c r="C90" s="6"/>
      <c r="D90" s="169"/>
      <c r="E90" s="140"/>
      <c r="F90" s="140">
        <f>F65*'Standard værdier'!G61</f>
        <v>0</v>
      </c>
      <c r="G90" s="142">
        <f>G65*'Standard værdier'!H61</f>
        <v>0</v>
      </c>
    </row>
    <row r="91" spans="1:7" x14ac:dyDescent="0.2">
      <c r="A91" s="35"/>
      <c r="B91" s="32" t="s">
        <v>291</v>
      </c>
      <c r="C91" s="6"/>
      <c r="D91" s="169"/>
      <c r="E91" s="140"/>
      <c r="F91" s="140">
        <f>F66*'Standard værdier'!G62</f>
        <v>0</v>
      </c>
      <c r="G91" s="142">
        <f>G66*'Standard værdier'!H62</f>
        <v>0</v>
      </c>
    </row>
    <row r="92" spans="1:7" x14ac:dyDescent="0.2">
      <c r="A92" s="38"/>
      <c r="B92" s="39" t="s">
        <v>49</v>
      </c>
      <c r="C92" s="39"/>
      <c r="D92" s="56"/>
      <c r="E92" s="144"/>
      <c r="F92" s="144">
        <f>SUM(F78:F91)</f>
        <v>4414.2335999999987</v>
      </c>
      <c r="G92" s="146">
        <f>SUM(G78:G91)</f>
        <v>11827.814399999999</v>
      </c>
    </row>
    <row r="93" spans="1:7" x14ac:dyDescent="0.2">
      <c r="A93" s="99"/>
      <c r="B93" s="80"/>
      <c r="C93" s="80"/>
      <c r="D93" s="99"/>
      <c r="E93" s="174"/>
      <c r="F93" s="174"/>
      <c r="G93" s="175"/>
    </row>
    <row r="94" spans="1:7" x14ac:dyDescent="0.2">
      <c r="A94" s="35"/>
      <c r="B94" s="80" t="s">
        <v>231</v>
      </c>
      <c r="C94" s="80"/>
      <c r="D94" s="100"/>
      <c r="E94" s="174"/>
      <c r="F94" s="174">
        <f>F92/'Beregninger med'!F25</f>
        <v>0.68722499999999986</v>
      </c>
      <c r="G94" s="175">
        <f>G92/'Beregninger med'!F25</f>
        <v>1.8414000000000001</v>
      </c>
    </row>
    <row r="95" spans="1:7" x14ac:dyDescent="0.2">
      <c r="A95" s="35"/>
      <c r="B95" s="80" t="s">
        <v>47</v>
      </c>
      <c r="C95" s="80"/>
      <c r="D95" s="100"/>
      <c r="E95" s="174"/>
      <c r="F95" s="174">
        <f>F92/'Forudsætninger - bedrift'!G74</f>
        <v>15.327199999999996</v>
      </c>
      <c r="G95" s="175">
        <f>G92/'Forudsætninger - bedrift'!G74</f>
        <v>41.068799999999996</v>
      </c>
    </row>
    <row r="96" spans="1:7" x14ac:dyDescent="0.2">
      <c r="A96" s="46"/>
      <c r="B96" s="180"/>
      <c r="C96" s="180"/>
      <c r="D96" s="181"/>
      <c r="E96" s="182"/>
      <c r="F96" s="182"/>
      <c r="G96" s="183"/>
    </row>
    <row r="99" spans="1:10" x14ac:dyDescent="0.2">
      <c r="A99" s="42" t="s">
        <v>123</v>
      </c>
      <c r="B99" s="27"/>
      <c r="C99" s="191"/>
      <c r="D99" s="66"/>
      <c r="E99" s="107"/>
      <c r="F99" s="107"/>
      <c r="G99" s="67"/>
      <c r="H99" s="198"/>
    </row>
    <row r="100" spans="1:10" ht="25.5" x14ac:dyDescent="0.2">
      <c r="A100" s="44"/>
      <c r="B100" s="13"/>
      <c r="C100" s="192" t="s">
        <v>125</v>
      </c>
      <c r="D100" s="82" t="s">
        <v>54</v>
      </c>
      <c r="E100" s="84" t="s">
        <v>124</v>
      </c>
      <c r="F100" s="84" t="s">
        <v>41</v>
      </c>
      <c r="G100" s="75" t="s">
        <v>40</v>
      </c>
      <c r="H100" s="205" t="s">
        <v>85</v>
      </c>
    </row>
    <row r="101" spans="1:10" x14ac:dyDescent="0.2">
      <c r="A101" s="35"/>
      <c r="B101" s="32"/>
      <c r="C101" s="199"/>
      <c r="D101" s="169"/>
      <c r="E101" s="140"/>
      <c r="F101" s="140"/>
      <c r="G101" s="142"/>
      <c r="H101" s="202"/>
    </row>
    <row r="102" spans="1:10" x14ac:dyDescent="0.2">
      <c r="A102" s="35"/>
      <c r="B102" s="32" t="s">
        <v>93</v>
      </c>
      <c r="C102" s="199">
        <f>+'Forudsætninger - bedrift'!G137</f>
        <v>3000</v>
      </c>
      <c r="D102" s="169">
        <f>+SUM(D53:D58)*$C102/SUM($F11:$F16)</f>
        <v>13216.5</v>
      </c>
      <c r="E102" s="140">
        <f t="shared" ref="E102:G102" si="1">+SUM(E53:E58)*$C102/SUM($F11:$F16)</f>
        <v>8241.7500000000018</v>
      </c>
      <c r="F102" s="140">
        <f t="shared" si="1"/>
        <v>2945.25</v>
      </c>
      <c r="G102" s="142">
        <f t="shared" si="1"/>
        <v>6905.25</v>
      </c>
      <c r="H102" s="202">
        <f>'Forudsætninger - bedrift'!G66/SUM(D53:D58)*D102</f>
        <v>134.5108695652174</v>
      </c>
    </row>
    <row r="103" spans="1:10" x14ac:dyDescent="0.2">
      <c r="A103" s="35"/>
      <c r="B103" s="32" t="s">
        <v>294</v>
      </c>
      <c r="C103" s="199">
        <f>+'Forudsætninger - bedrift'!G138</f>
        <v>0</v>
      </c>
      <c r="D103" s="169">
        <f>IF(SUM($F18:$F24)&gt;0,+SUM(D60:D66)*$C103/SUM($F18:$F24),0)</f>
        <v>0</v>
      </c>
      <c r="E103" s="140">
        <f t="shared" ref="E103:G103" si="2">IF(SUM($F18:$F24)&gt;0,+SUM(E60:E66)*$C103/SUM($F18:$F24),0)</f>
        <v>0</v>
      </c>
      <c r="F103" s="140">
        <f t="shared" si="2"/>
        <v>0</v>
      </c>
      <c r="G103" s="142">
        <f t="shared" si="2"/>
        <v>0</v>
      </c>
      <c r="H103" s="202">
        <f>IF(SUM(D60:D66)&lt;&gt;0,('Forudsætninger - bedrift'!G74-'Forudsætninger - bedrift'!G66)/SUM(D60:D66)*D103,0)</f>
        <v>0</v>
      </c>
    </row>
    <row r="104" spans="1:10" x14ac:dyDescent="0.2">
      <c r="A104" s="35"/>
      <c r="B104" s="32" t="s">
        <v>92</v>
      </c>
      <c r="C104" s="199">
        <f>+'Forudsætninger - bedrift'!G139</f>
        <v>0</v>
      </c>
      <c r="D104" s="169">
        <f>'Beregninger med'!D69*'Forudsætninger - bedrift'!G139</f>
        <v>0</v>
      </c>
      <c r="E104" s="140">
        <f>'Beregninger med'!E69*'Forudsætninger - bedrift'!G139</f>
        <v>0</v>
      </c>
      <c r="F104" s="140">
        <f>'Beregninger med'!F69*'Forudsætninger - bedrift'!G139</f>
        <v>0</v>
      </c>
      <c r="G104" s="142">
        <f>'Beregninger med'!G69*'Forudsætninger - bedrift'!G139</f>
        <v>0</v>
      </c>
      <c r="H104" s="202">
        <f>'Forudsætninger - bedrift'!G74/'Beregninger med'!D67*D104</f>
        <v>0</v>
      </c>
    </row>
    <row r="105" spans="1:10" x14ac:dyDescent="0.2">
      <c r="A105" s="46"/>
      <c r="B105" s="33" t="s">
        <v>91</v>
      </c>
      <c r="C105" s="200">
        <f>'Beregninger med'!F25-SUM('Forudsætninger - bedrift'!G137:'Forudsætninger - bedrift'!G139)</f>
        <v>3423.2727272727261</v>
      </c>
      <c r="D105" s="172">
        <f>'Beregninger med'!D69*'Beregninger med'!C105</f>
        <v>15081.227999999996</v>
      </c>
      <c r="E105" s="153">
        <f>'Beregninger med'!E69*'Beregninger med'!C105</f>
        <v>9404.5859999999975</v>
      </c>
      <c r="F105" s="153">
        <f>'Beregninger med'!F69*'Beregninger med'!C105</f>
        <v>3360.7979999999989</v>
      </c>
      <c r="G105" s="155">
        <f>'Beregninger med'!G69*'Beregninger med'!C105</f>
        <v>7879.5179999999982</v>
      </c>
      <c r="H105" s="203">
        <f>'Forudsætninger - bedrift'!G74/'Beregninger med'!D67*D105</f>
        <v>153.48913043478257</v>
      </c>
    </row>
    <row r="106" spans="1:10" s="178" customFormat="1" x14ac:dyDescent="0.2">
      <c r="A106" s="38"/>
      <c r="B106" s="39" t="s">
        <v>117</v>
      </c>
      <c r="C106" s="201">
        <f>SUM(C102:C105)</f>
        <v>6423.2727272727261</v>
      </c>
      <c r="D106" s="56">
        <f t="shared" ref="D106:G106" si="3">SUM(D102:D105)</f>
        <v>28297.727999999996</v>
      </c>
      <c r="E106" s="144">
        <f t="shared" si="3"/>
        <v>17646.335999999999</v>
      </c>
      <c r="F106" s="144">
        <f t="shared" si="3"/>
        <v>6306.0479999999989</v>
      </c>
      <c r="G106" s="146">
        <f t="shared" si="3"/>
        <v>14784.767999999998</v>
      </c>
      <c r="H106" s="204">
        <f>SUM(H102:H105)</f>
        <v>288</v>
      </c>
    </row>
    <row r="109" spans="1:10" x14ac:dyDescent="0.2">
      <c r="A109" s="42" t="s">
        <v>90</v>
      </c>
      <c r="B109" s="27"/>
      <c r="C109" s="191"/>
      <c r="H109" s="3"/>
      <c r="J109" s="232"/>
    </row>
    <row r="110" spans="1:10" x14ac:dyDescent="0.2">
      <c r="A110" s="44"/>
      <c r="B110" s="13"/>
      <c r="C110" s="192" t="s">
        <v>125</v>
      </c>
      <c r="H110" s="3"/>
    </row>
    <row r="111" spans="1:10" x14ac:dyDescent="0.2">
      <c r="A111" s="47"/>
      <c r="B111" s="45"/>
      <c r="C111" s="214"/>
      <c r="H111" s="3"/>
    </row>
    <row r="112" spans="1:10" x14ac:dyDescent="0.2">
      <c r="A112" s="35"/>
      <c r="B112" s="32" t="s">
        <v>88</v>
      </c>
      <c r="C112" s="308">
        <f>+C140*C114*D124</f>
        <v>9183.7919463087237</v>
      </c>
      <c r="D112" s="232"/>
      <c r="H112" s="3"/>
      <c r="J112" s="199">
        <f>+J140*J114*K124</f>
        <v>0</v>
      </c>
    </row>
    <row r="113" spans="1:9" x14ac:dyDescent="0.2">
      <c r="A113" s="35"/>
      <c r="B113" s="32" t="s">
        <v>45</v>
      </c>
      <c r="C113" s="212">
        <f>'Beregninger med'!H120</f>
        <v>81</v>
      </c>
      <c r="H113" s="3"/>
    </row>
    <row r="114" spans="1:9" x14ac:dyDescent="0.2">
      <c r="A114" s="46"/>
      <c r="B114" s="33" t="s">
        <v>46</v>
      </c>
      <c r="C114" s="309">
        <f>'Forudsætninger - bedrift'!G80</f>
        <v>1.63</v>
      </c>
      <c r="H114" s="3"/>
    </row>
    <row r="117" spans="1:9" x14ac:dyDescent="0.2">
      <c r="A117" s="42" t="s">
        <v>128</v>
      </c>
      <c r="B117" s="27"/>
      <c r="C117" s="27"/>
      <c r="D117" s="66"/>
      <c r="E117" s="107"/>
      <c r="F117" s="107"/>
      <c r="G117" s="67"/>
      <c r="H117" s="167"/>
    </row>
    <row r="118" spans="1:9" ht="38.25" x14ac:dyDescent="0.2">
      <c r="A118" s="44"/>
      <c r="B118" s="13"/>
      <c r="C118" s="13"/>
      <c r="D118" s="82" t="s">
        <v>54</v>
      </c>
      <c r="E118" s="84" t="s">
        <v>124</v>
      </c>
      <c r="F118" s="84" t="s">
        <v>41</v>
      </c>
      <c r="G118" s="75" t="s">
        <v>40</v>
      </c>
      <c r="H118" s="168" t="s">
        <v>113</v>
      </c>
    </row>
    <row r="119" spans="1:9" x14ac:dyDescent="0.2">
      <c r="A119" s="47"/>
      <c r="B119" s="45"/>
      <c r="C119" s="151"/>
      <c r="D119" s="187"/>
      <c r="E119" s="188"/>
      <c r="F119" s="188"/>
      <c r="G119" s="189"/>
      <c r="H119" s="218"/>
    </row>
    <row r="120" spans="1:9" x14ac:dyDescent="0.2">
      <c r="A120" s="35"/>
      <c r="B120" s="32" t="s">
        <v>339</v>
      </c>
      <c r="C120" s="196"/>
      <c r="D120" s="267">
        <f>+'Standard værdier'!D74</f>
        <v>4.47</v>
      </c>
      <c r="E120" s="319">
        <f>+'Standard værdier'!E74</f>
        <v>3.63</v>
      </c>
      <c r="F120" s="147">
        <f>+'Standard værdier'!F74</f>
        <v>0.45</v>
      </c>
      <c r="G120" s="158">
        <f>+'Standard værdier'!G74</f>
        <v>2.2599999999999998</v>
      </c>
      <c r="H120" s="329">
        <f>+'Standard værdier'!H74</f>
        <v>81</v>
      </c>
      <c r="I120" s="328" t="s">
        <v>349</v>
      </c>
    </row>
    <row r="121" spans="1:9" x14ac:dyDescent="0.2">
      <c r="A121" s="35"/>
      <c r="B121" s="32" t="s">
        <v>88</v>
      </c>
      <c r="C121" s="196"/>
      <c r="D121" s="169">
        <f>+C112*D120</f>
        <v>41051.549999999996</v>
      </c>
      <c r="E121" s="140">
        <f>E120*'Beregninger med'!C112</f>
        <v>33337.164765100664</v>
      </c>
      <c r="F121" s="140">
        <f>F120*'Beregninger med'!C112</f>
        <v>4132.7063758389259</v>
      </c>
      <c r="G121" s="142">
        <f>G120*'Beregninger med'!C112</f>
        <v>20755.369798657714</v>
      </c>
      <c r="H121" s="217">
        <f>D121/100</f>
        <v>410.51549999999997</v>
      </c>
    </row>
    <row r="122" spans="1:9" x14ac:dyDescent="0.2">
      <c r="A122" s="35"/>
      <c r="B122" s="32" t="s">
        <v>47</v>
      </c>
      <c r="C122" s="196"/>
      <c r="D122" s="327">
        <f>+'Standard værdier'!D75</f>
        <v>100</v>
      </c>
      <c r="E122" s="140">
        <f>E120*D124</f>
        <v>81.208053691275168</v>
      </c>
      <c r="F122" s="140">
        <f>F120*D124</f>
        <v>10.067114093959733</v>
      </c>
      <c r="G122" s="142">
        <f>G120*D124</f>
        <v>50.559284116331092</v>
      </c>
      <c r="H122" s="217"/>
      <c r="I122" s="328" t="s">
        <v>348</v>
      </c>
    </row>
    <row r="123" spans="1:9" x14ac:dyDescent="0.2">
      <c r="A123" s="35"/>
      <c r="B123" s="32" t="s">
        <v>45</v>
      </c>
      <c r="C123" s="196"/>
      <c r="D123" s="169">
        <f>D122*H120/100</f>
        <v>81</v>
      </c>
      <c r="E123" s="140">
        <f>E122</f>
        <v>81.208053691275168</v>
      </c>
      <c r="F123" s="140">
        <f>F122</f>
        <v>10.067114093959733</v>
      </c>
      <c r="G123" s="142">
        <f>G122</f>
        <v>50.559284116331092</v>
      </c>
      <c r="H123" s="217"/>
    </row>
    <row r="124" spans="1:9" x14ac:dyDescent="0.2">
      <c r="A124" s="35"/>
      <c r="B124" s="32" t="s">
        <v>87</v>
      </c>
      <c r="C124" s="196"/>
      <c r="D124" s="310">
        <f>D122/D120</f>
        <v>22.371364653243848</v>
      </c>
      <c r="E124" s="140"/>
      <c r="F124" s="140"/>
      <c r="G124" s="142"/>
      <c r="H124" s="217"/>
    </row>
    <row r="125" spans="1:9" x14ac:dyDescent="0.2">
      <c r="A125" s="35"/>
      <c r="B125" s="32" t="s">
        <v>46</v>
      </c>
      <c r="C125" s="196"/>
      <c r="D125" s="169">
        <f>D122*'Beregninger med'!C114</f>
        <v>163</v>
      </c>
      <c r="E125" s="140">
        <f>E122*'Beregninger med'!C114</f>
        <v>132.36912751677852</v>
      </c>
      <c r="F125" s="140">
        <f>F122*'Beregninger med'!C114</f>
        <v>16.409395973154364</v>
      </c>
      <c r="G125" s="142">
        <f>G122*'Beregninger med'!C114</f>
        <v>82.411633109619672</v>
      </c>
      <c r="H125" s="217"/>
    </row>
    <row r="126" spans="1:9" x14ac:dyDescent="0.2">
      <c r="A126" s="46"/>
      <c r="B126" s="33" t="s">
        <v>86</v>
      </c>
      <c r="C126" s="219"/>
      <c r="D126" s="172">
        <f>D124*'Beregninger med'!C114</f>
        <v>36.465324384787472</v>
      </c>
      <c r="E126" s="153"/>
      <c r="F126" s="153"/>
      <c r="G126" s="155"/>
      <c r="H126" s="220"/>
    </row>
    <row r="129" spans="1:9" x14ac:dyDescent="0.2">
      <c r="A129" s="42" t="s">
        <v>129</v>
      </c>
      <c r="B129" s="27"/>
      <c r="C129" s="27"/>
      <c r="D129" s="66"/>
      <c r="E129" s="107"/>
      <c r="F129" s="107"/>
      <c r="G129" s="67"/>
    </row>
    <row r="130" spans="1:9" ht="25.5" x14ac:dyDescent="0.2">
      <c r="A130" s="44"/>
      <c r="B130" s="13"/>
      <c r="C130" s="13"/>
      <c r="D130" s="82" t="s">
        <v>54</v>
      </c>
      <c r="E130" s="84" t="s">
        <v>124</v>
      </c>
      <c r="F130" s="84" t="str">
        <f>CONCATENATE("P (",+'Standard værdier'!G82*100,"%)")</f>
        <v>P (70%)</v>
      </c>
      <c r="G130" s="75" t="str">
        <f>CONCATENATE("K (",+'Standard værdier'!H82*100,"%)")</f>
        <v>K (95%)</v>
      </c>
    </row>
    <row r="131" spans="1:9" x14ac:dyDescent="0.2">
      <c r="A131" s="47"/>
      <c r="B131" s="45"/>
      <c r="C131" s="151"/>
      <c r="D131" s="187"/>
      <c r="E131" s="188"/>
      <c r="F131" s="188"/>
      <c r="G131" s="189"/>
    </row>
    <row r="132" spans="1:9" x14ac:dyDescent="0.2">
      <c r="A132" s="35"/>
      <c r="B132" s="32" t="s">
        <v>89</v>
      </c>
      <c r="C132" s="196"/>
      <c r="D132" s="215"/>
      <c r="E132" s="216"/>
      <c r="F132" s="147">
        <f>F120*'Standard værdier'!G82</f>
        <v>0.315</v>
      </c>
      <c r="G132" s="158">
        <f>G120*'Standard værdier'!H82</f>
        <v>2.1469999999999998</v>
      </c>
    </row>
    <row r="133" spans="1:9" x14ac:dyDescent="0.2">
      <c r="A133" s="35"/>
      <c r="B133" s="32" t="s">
        <v>88</v>
      </c>
      <c r="C133" s="196"/>
      <c r="D133" s="169"/>
      <c r="E133" s="140"/>
      <c r="F133" s="140">
        <f>F132*'Beregninger med'!C112</f>
        <v>2892.8944630872479</v>
      </c>
      <c r="G133" s="142">
        <f>G132*'Beregninger med'!C112</f>
        <v>19717.601308724828</v>
      </c>
    </row>
    <row r="134" spans="1:9" x14ac:dyDescent="0.2">
      <c r="A134" s="46"/>
      <c r="B134" s="33" t="s">
        <v>47</v>
      </c>
      <c r="C134" s="219"/>
      <c r="D134" s="172"/>
      <c r="E134" s="153"/>
      <c r="F134" s="153">
        <f>F132*D124</f>
        <v>7.0469798657718119</v>
      </c>
      <c r="G134" s="155">
        <f>G132*D124</f>
        <v>48.03131991051454</v>
      </c>
    </row>
    <row r="135" spans="1:9" x14ac:dyDescent="0.2">
      <c r="F135" s="3"/>
      <c r="G135" s="3"/>
    </row>
    <row r="137" spans="1:9" x14ac:dyDescent="0.2">
      <c r="A137" s="42" t="s">
        <v>115</v>
      </c>
      <c r="B137" s="27"/>
      <c r="C137" s="27"/>
      <c r="D137" s="66"/>
      <c r="E137" s="107"/>
      <c r="F137" s="107"/>
      <c r="G137" s="67"/>
    </row>
    <row r="138" spans="1:9" ht="51" x14ac:dyDescent="0.2">
      <c r="A138" s="44"/>
      <c r="B138" s="13"/>
      <c r="C138" s="13"/>
      <c r="D138" s="82" t="s">
        <v>43</v>
      </c>
      <c r="E138" s="84" t="s">
        <v>42</v>
      </c>
      <c r="F138" s="84" t="s">
        <v>41</v>
      </c>
      <c r="G138" s="75" t="s">
        <v>40</v>
      </c>
    </row>
    <row r="139" spans="1:9" x14ac:dyDescent="0.2">
      <c r="A139" s="35"/>
      <c r="B139" s="32"/>
      <c r="C139" s="6"/>
      <c r="D139" s="169"/>
      <c r="E139" s="140"/>
      <c r="F139" s="140"/>
      <c r="G139" s="142"/>
    </row>
    <row r="140" spans="1:9" x14ac:dyDescent="0.2">
      <c r="A140" s="35"/>
      <c r="B140" s="32" t="s">
        <v>44</v>
      </c>
      <c r="C140" s="311">
        <f>'Forudsætninger - bedrift'!G86+'Forudsætninger - bedrift'!G87</f>
        <v>251.85</v>
      </c>
      <c r="D140" s="169"/>
      <c r="E140" s="140"/>
      <c r="F140" s="140"/>
      <c r="G140" s="142"/>
    </row>
    <row r="141" spans="1:9" x14ac:dyDescent="0.2">
      <c r="A141" s="35"/>
      <c r="B141" s="32"/>
      <c r="C141" s="6"/>
      <c r="D141" s="169"/>
      <c r="E141" s="140"/>
      <c r="F141" s="140"/>
      <c r="G141" s="142"/>
    </row>
    <row r="142" spans="1:9" ht="28.15" customHeight="1" x14ac:dyDescent="0.2">
      <c r="A142" s="35"/>
      <c r="B142" s="335" t="s">
        <v>39</v>
      </c>
      <c r="C142" s="336"/>
      <c r="D142" s="169">
        <f>'Beregninger med'!C140*'Forudsætninger - bedrift'!E121</f>
        <v>37777.5</v>
      </c>
      <c r="E142" s="140"/>
      <c r="F142" s="140">
        <f>'Forudsætninger - bedrift'!G121*'Beregninger med'!C140</f>
        <v>4281.45</v>
      </c>
      <c r="G142" s="142">
        <f>'Forudsætninger - bedrift'!H121*'Beregninger med'!C140</f>
        <v>12592.5</v>
      </c>
      <c r="H142" s="69"/>
      <c r="I142" s="69"/>
    </row>
    <row r="143" spans="1:9" x14ac:dyDescent="0.2">
      <c r="A143" s="35"/>
      <c r="B143" s="32"/>
      <c r="C143" s="6"/>
      <c r="D143" s="169"/>
      <c r="E143" s="140"/>
      <c r="F143" s="140"/>
      <c r="G143" s="142"/>
      <c r="H143" s="69"/>
      <c r="I143" s="69"/>
    </row>
    <row r="144" spans="1:9" x14ac:dyDescent="0.2">
      <c r="A144" s="35"/>
      <c r="B144" s="32" t="s">
        <v>84</v>
      </c>
      <c r="C144" s="6"/>
      <c r="D144" s="169">
        <f>+F153*D120</f>
        <v>41051.549999999996</v>
      </c>
      <c r="E144" s="316">
        <f>'Beregninger med'!E120*F153</f>
        <v>33337.164765100664</v>
      </c>
      <c r="F144" s="140">
        <f>'Beregninger med'!F133</f>
        <v>2892.8944630872479</v>
      </c>
      <c r="G144" s="142">
        <f>'Beregninger med'!G133</f>
        <v>19717.601308724828</v>
      </c>
      <c r="H144" s="3"/>
    </row>
    <row r="145" spans="1:13" x14ac:dyDescent="0.2">
      <c r="A145" s="35"/>
      <c r="B145" s="32"/>
      <c r="C145" s="6"/>
      <c r="D145" s="169"/>
      <c r="E145" s="140"/>
      <c r="F145" s="140"/>
      <c r="G145" s="142"/>
      <c r="H145" s="221"/>
      <c r="I145" s="222"/>
    </row>
    <row r="146" spans="1:13" x14ac:dyDescent="0.2">
      <c r="A146" s="35"/>
      <c r="B146" s="32" t="s">
        <v>38</v>
      </c>
      <c r="C146" s="6"/>
      <c r="D146" s="169">
        <f>+'Forudsætninger - bedrift'!E122</f>
        <v>37088</v>
      </c>
      <c r="E146" s="140"/>
      <c r="F146" s="140"/>
      <c r="G146" s="142"/>
      <c r="H146" s="69"/>
      <c r="I146" s="69"/>
    </row>
    <row r="147" spans="1:13" x14ac:dyDescent="0.2">
      <c r="A147" s="35"/>
      <c r="B147" s="32" t="s">
        <v>245</v>
      </c>
      <c r="C147" s="6"/>
      <c r="D147" s="169"/>
      <c r="E147" s="140"/>
      <c r="F147" s="140">
        <f>+F142</f>
        <v>4281.45</v>
      </c>
      <c r="G147" s="142">
        <f>+G142</f>
        <v>12592.5</v>
      </c>
      <c r="H147" s="69"/>
      <c r="I147" s="69"/>
    </row>
    <row r="148" spans="1:13" x14ac:dyDescent="0.2">
      <c r="A148" s="35"/>
      <c r="B148" s="32" t="s">
        <v>34</v>
      </c>
      <c r="C148" s="6"/>
      <c r="D148" s="169">
        <f>D144/100*'Beregninger med'!H120</f>
        <v>33251.755499999999</v>
      </c>
      <c r="E148" s="140"/>
      <c r="F148" s="140">
        <f>+F144</f>
        <v>2892.8944630872479</v>
      </c>
      <c r="G148" s="142">
        <f>+G144</f>
        <v>19717.601308724828</v>
      </c>
      <c r="H148" s="69"/>
      <c r="I148" s="69"/>
    </row>
    <row r="149" spans="1:13" x14ac:dyDescent="0.2">
      <c r="A149" s="38"/>
      <c r="B149" s="39" t="s">
        <v>82</v>
      </c>
      <c r="C149" s="39"/>
      <c r="D149" s="56">
        <f>D146-D148</f>
        <v>3836.2445000000007</v>
      </c>
      <c r="E149" s="317">
        <f>D149</f>
        <v>3836.2445000000007</v>
      </c>
      <c r="F149" s="144">
        <f>F147-F148</f>
        <v>1388.5555369127519</v>
      </c>
      <c r="G149" s="146">
        <f>G147-G148</f>
        <v>-7125.1013087248284</v>
      </c>
      <c r="H149" s="69"/>
      <c r="I149" s="69"/>
    </row>
    <row r="150" spans="1:13" x14ac:dyDescent="0.2">
      <c r="A150" s="47"/>
      <c r="B150" s="32" t="s">
        <v>186</v>
      </c>
      <c r="C150" s="150"/>
      <c r="D150" s="187"/>
      <c r="E150" s="188"/>
      <c r="F150" s="188"/>
      <c r="G150" s="189"/>
      <c r="H150" s="69"/>
    </row>
    <row r="151" spans="1:13" x14ac:dyDescent="0.2">
      <c r="A151" s="35"/>
      <c r="B151" s="32"/>
      <c r="C151" s="6"/>
      <c r="D151" s="169"/>
      <c r="E151" s="140"/>
      <c r="F151" s="140"/>
      <c r="G151" s="142"/>
      <c r="H151" s="69"/>
    </row>
    <row r="152" spans="1:13" ht="25.5" x14ac:dyDescent="0.2">
      <c r="A152" s="35"/>
      <c r="B152" s="32" t="s">
        <v>114</v>
      </c>
      <c r="C152" s="6"/>
      <c r="D152" s="169"/>
      <c r="E152" s="186" t="s">
        <v>37</v>
      </c>
      <c r="F152" s="186" t="s">
        <v>36</v>
      </c>
      <c r="G152" s="142"/>
      <c r="H152" s="69"/>
    </row>
    <row r="153" spans="1:13" x14ac:dyDescent="0.2">
      <c r="A153" s="46"/>
      <c r="B153" s="33" t="s">
        <v>35</v>
      </c>
      <c r="C153" s="9"/>
      <c r="D153" s="172">
        <f>+D144</f>
        <v>41051.549999999996</v>
      </c>
      <c r="E153" s="318">
        <f>D153/'Beregninger med'!C140/100</f>
        <v>1.63</v>
      </c>
      <c r="F153" s="153">
        <f>+C112</f>
        <v>9183.7919463087237</v>
      </c>
      <c r="G153" s="155"/>
      <c r="H153" s="69"/>
    </row>
    <row r="154" spans="1:13" x14ac:dyDescent="0.2">
      <c r="B154" s="69"/>
      <c r="C154" s="69"/>
      <c r="D154" s="69"/>
      <c r="E154" s="69"/>
      <c r="F154" s="69"/>
      <c r="G154" s="69"/>
      <c r="H154" s="69"/>
    </row>
    <row r="155" spans="1:13" x14ac:dyDescent="0.2">
      <c r="B155" s="69"/>
      <c r="C155" s="69"/>
      <c r="D155" s="69"/>
      <c r="E155" s="69"/>
      <c r="F155" s="69"/>
      <c r="G155" s="69"/>
      <c r="H155" s="69"/>
    </row>
    <row r="156" spans="1:13" x14ac:dyDescent="0.2">
      <c r="A156" s="42" t="s">
        <v>130</v>
      </c>
      <c r="B156" s="27"/>
      <c r="C156" s="27"/>
      <c r="D156" s="27"/>
      <c r="E156" s="107"/>
      <c r="F156" s="107"/>
      <c r="G156" s="67"/>
      <c r="H156" s="167"/>
    </row>
    <row r="157" spans="1:13" x14ac:dyDescent="0.2">
      <c r="A157" s="44"/>
      <c r="B157" s="13"/>
      <c r="C157" s="13"/>
      <c r="D157" s="13"/>
      <c r="E157" s="84"/>
      <c r="F157" s="195" t="s">
        <v>2</v>
      </c>
      <c r="G157" s="75" t="s">
        <v>97</v>
      </c>
      <c r="H157" s="168" t="s">
        <v>117</v>
      </c>
    </row>
    <row r="158" spans="1:13" x14ac:dyDescent="0.2">
      <c r="A158" s="47"/>
      <c r="B158" s="45"/>
      <c r="C158" s="150"/>
      <c r="D158" s="150"/>
      <c r="E158" s="188"/>
      <c r="F158" s="227"/>
      <c r="G158" s="151"/>
      <c r="H158" s="228"/>
    </row>
    <row r="159" spans="1:13" x14ac:dyDescent="0.2">
      <c r="A159" s="35"/>
      <c r="B159" s="32" t="s">
        <v>77</v>
      </c>
      <c r="C159" s="6"/>
      <c r="D159" s="6"/>
      <c r="E159" s="140"/>
      <c r="F159" s="243">
        <f>+'Standard værdier'!G93</f>
        <v>4.4334961106115447</v>
      </c>
      <c r="G159" s="57"/>
      <c r="H159" s="171"/>
      <c r="I159" s="69" t="s">
        <v>340</v>
      </c>
      <c r="J159" s="69"/>
      <c r="K159" s="69"/>
      <c r="L159" s="4"/>
      <c r="M159" s="4"/>
    </row>
    <row r="160" spans="1:13" x14ac:dyDescent="0.2">
      <c r="A160" s="35"/>
      <c r="B160" s="32" t="s">
        <v>76</v>
      </c>
      <c r="C160" s="6"/>
      <c r="D160" s="6"/>
      <c r="E160" s="140"/>
      <c r="F160" s="243"/>
      <c r="G160" s="236">
        <f>+'Standard værdier'!G94</f>
        <v>150</v>
      </c>
      <c r="H160" s="171"/>
      <c r="I160" s="69"/>
      <c r="J160" s="69"/>
      <c r="K160" s="69"/>
      <c r="L160" s="4"/>
      <c r="M160" s="4"/>
    </row>
    <row r="161" spans="1:13" x14ac:dyDescent="0.2">
      <c r="A161" s="35"/>
      <c r="B161" s="32" t="s">
        <v>75</v>
      </c>
      <c r="C161" s="6"/>
      <c r="D161" s="6"/>
      <c r="E161" s="140"/>
      <c r="F161" s="185"/>
      <c r="G161" s="226">
        <f>F159*G160</f>
        <v>665.02441659173166</v>
      </c>
      <c r="H161" s="171"/>
      <c r="I161" s="69"/>
      <c r="J161" s="69"/>
      <c r="K161" s="69"/>
      <c r="L161" s="4"/>
      <c r="M161" s="4"/>
    </row>
    <row r="162" spans="1:13" x14ac:dyDescent="0.2">
      <c r="A162" s="35"/>
      <c r="B162" s="32"/>
      <c r="C162" s="6"/>
      <c r="D162" s="6"/>
      <c r="E162" s="140"/>
      <c r="F162" s="185"/>
      <c r="G162" s="226"/>
      <c r="H162" s="171"/>
      <c r="I162" s="69"/>
      <c r="J162" s="69"/>
      <c r="K162" s="69"/>
      <c r="L162" s="4"/>
      <c r="M162" s="4"/>
    </row>
    <row r="163" spans="1:13" x14ac:dyDescent="0.2">
      <c r="A163" s="46"/>
      <c r="B163" s="180" t="s">
        <v>341</v>
      </c>
      <c r="C163" s="312">
        <v>50</v>
      </c>
      <c r="D163" s="180" t="s">
        <v>342</v>
      </c>
      <c r="E163" s="229">
        <f>+C140*C163/100</f>
        <v>125.925</v>
      </c>
      <c r="F163" s="229" t="s">
        <v>131</v>
      </c>
      <c r="G163" s="230">
        <f>+G161</f>
        <v>665.02441659173166</v>
      </c>
      <c r="H163" s="231">
        <f>+E163*G163</f>
        <v>83743.199659313803</v>
      </c>
      <c r="I163" s="69"/>
      <c r="J163" s="69"/>
      <c r="K163" s="69"/>
      <c r="L163" s="4"/>
      <c r="M163" s="4"/>
    </row>
    <row r="164" spans="1:13" ht="15" x14ac:dyDescent="0.25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4"/>
      <c r="M164" s="4"/>
    </row>
    <row r="165" spans="1:13" ht="15" x14ac:dyDescent="0.25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4"/>
      <c r="M165" s="4"/>
    </row>
    <row r="166" spans="1:13" x14ac:dyDescent="0.2">
      <c r="A166" s="42" t="s">
        <v>132</v>
      </c>
      <c r="B166" s="27"/>
      <c r="C166" s="27"/>
      <c r="D166" s="27"/>
      <c r="E166" s="107"/>
      <c r="F166" s="107"/>
      <c r="G166" s="67"/>
      <c r="H166" s="167"/>
    </row>
    <row r="167" spans="1:13" x14ac:dyDescent="0.2">
      <c r="A167" s="44"/>
      <c r="B167" s="13"/>
      <c r="C167" s="13"/>
      <c r="D167" s="13"/>
      <c r="E167" s="84"/>
      <c r="F167" s="195" t="s">
        <v>2</v>
      </c>
      <c r="G167" s="75" t="s">
        <v>97</v>
      </c>
      <c r="H167" s="168" t="s">
        <v>117</v>
      </c>
    </row>
    <row r="168" spans="1:13" x14ac:dyDescent="0.2">
      <c r="A168" s="35"/>
      <c r="B168" s="32"/>
      <c r="C168" s="6"/>
      <c r="D168" s="6"/>
      <c r="E168" s="140"/>
      <c r="F168" s="105"/>
      <c r="G168" s="196"/>
      <c r="H168" s="171"/>
      <c r="I168" s="69"/>
      <c r="J168" s="69"/>
      <c r="K168" s="69"/>
      <c r="L168" s="4"/>
      <c r="M168" s="4"/>
    </row>
    <row r="169" spans="1:13" x14ac:dyDescent="0.2">
      <c r="A169" s="35"/>
      <c r="B169" s="32" t="s">
        <v>73</v>
      </c>
      <c r="C169" s="6"/>
      <c r="D169" s="185">
        <f>+E163</f>
        <v>125.925</v>
      </c>
      <c r="E169" s="140" t="str">
        <f>CONCATENATE("á ",'Forudsætninger - bedrift'!G147," ton")</f>
        <v>á 7 ton</v>
      </c>
      <c r="F169" s="243">
        <f>D169*'Forudsætninger - bedrift'!G147</f>
        <v>881.47500000000002</v>
      </c>
      <c r="G169" s="57" t="s">
        <v>83</v>
      </c>
      <c r="H169" s="171"/>
      <c r="I169" s="69"/>
      <c r="J169" s="69"/>
      <c r="K169" s="69"/>
      <c r="L169" s="4"/>
      <c r="M169" s="4"/>
    </row>
    <row r="170" spans="1:13" x14ac:dyDescent="0.2">
      <c r="A170" s="35"/>
      <c r="B170" s="32" t="s">
        <v>343</v>
      </c>
      <c r="C170" s="6"/>
      <c r="D170" s="185"/>
      <c r="E170" s="140"/>
      <c r="F170" s="243">
        <f>+'Forudsætninger - bedrift'!G150</f>
        <v>750</v>
      </c>
      <c r="G170" s="57" t="s">
        <v>83</v>
      </c>
      <c r="H170" s="171"/>
      <c r="I170" s="69"/>
      <c r="J170" s="69"/>
      <c r="K170" s="69"/>
      <c r="L170" s="4"/>
      <c r="M170" s="4"/>
    </row>
    <row r="171" spans="1:13" x14ac:dyDescent="0.2">
      <c r="A171" s="35"/>
      <c r="B171" s="313" t="s">
        <v>74</v>
      </c>
      <c r="C171" s="313"/>
      <c r="D171" s="314">
        <v>5.0000000000000001E-3</v>
      </c>
      <c r="E171" s="140"/>
      <c r="F171" s="105"/>
      <c r="G171" s="196"/>
      <c r="H171" s="171"/>
      <c r="I171" s="69"/>
      <c r="J171" s="69"/>
      <c r="K171" s="69"/>
      <c r="L171" s="4"/>
      <c r="M171" s="4"/>
    </row>
    <row r="172" spans="1:13" x14ac:dyDescent="0.2">
      <c r="A172" s="35"/>
      <c r="B172" s="32" t="s">
        <v>72</v>
      </c>
      <c r="C172" s="249" t="s">
        <v>134</v>
      </c>
      <c r="D172" s="32">
        <f>+'Standard værdier'!G102</f>
        <v>0.38</v>
      </c>
      <c r="E172" s="140" t="s">
        <v>135</v>
      </c>
      <c r="F172" s="243">
        <f>(F170*D171)/D172*10</f>
        <v>98.68421052631578</v>
      </c>
      <c r="G172" s="57" t="s">
        <v>137</v>
      </c>
      <c r="H172" s="171"/>
      <c r="I172" s="69"/>
      <c r="J172" s="69"/>
      <c r="K172" s="69"/>
      <c r="L172" s="4"/>
      <c r="M172" s="4"/>
    </row>
    <row r="173" spans="1:13" x14ac:dyDescent="0.2">
      <c r="A173" s="35"/>
      <c r="B173" s="32" t="s">
        <v>138</v>
      </c>
      <c r="C173" s="6"/>
      <c r="D173" s="6"/>
      <c r="E173" s="140"/>
      <c r="F173" s="105"/>
      <c r="G173" s="236">
        <f>+'Standard værdier'!G103</f>
        <v>240</v>
      </c>
      <c r="H173" s="171"/>
      <c r="I173" s="69"/>
      <c r="J173" s="69"/>
      <c r="K173" s="69"/>
      <c r="L173" s="4"/>
      <c r="M173" s="4"/>
    </row>
    <row r="174" spans="1:13" x14ac:dyDescent="0.2">
      <c r="A174" s="35"/>
      <c r="B174" s="32"/>
      <c r="C174" s="6"/>
      <c r="D174" s="6"/>
      <c r="E174" s="140"/>
      <c r="F174" s="105"/>
      <c r="G174" s="196"/>
      <c r="H174" s="171"/>
      <c r="I174" s="69"/>
      <c r="J174" s="69"/>
      <c r="K174" s="69"/>
      <c r="L174" s="4"/>
      <c r="M174" s="4"/>
    </row>
    <row r="175" spans="1:13" x14ac:dyDescent="0.2">
      <c r="A175" s="46"/>
      <c r="B175" s="180" t="s">
        <v>71</v>
      </c>
      <c r="C175" s="180"/>
      <c r="D175" s="180"/>
      <c r="E175" s="229">
        <f>+F172</f>
        <v>98.68421052631578</v>
      </c>
      <c r="F175" s="229" t="s">
        <v>136</v>
      </c>
      <c r="G175" s="230">
        <f>+G173</f>
        <v>240</v>
      </c>
      <c r="H175" s="231">
        <f>E175*G175</f>
        <v>23684.210526315786</v>
      </c>
      <c r="I175" s="69"/>
      <c r="J175" s="69"/>
      <c r="K175" s="69"/>
      <c r="L175" s="4"/>
      <c r="M175" s="4"/>
    </row>
    <row r="176" spans="1:13" ht="15" x14ac:dyDescent="0.25">
      <c r="B176" s="68"/>
      <c r="C176" s="68"/>
      <c r="D176" s="68"/>
      <c r="E176" s="68"/>
      <c r="F176" s="68"/>
    </row>
    <row r="178" spans="1:8" x14ac:dyDescent="0.2">
      <c r="A178" s="42" t="s">
        <v>253</v>
      </c>
      <c r="B178" s="27"/>
      <c r="C178" s="27"/>
      <c r="D178" s="27"/>
      <c r="E178" s="107"/>
      <c r="F178" s="107"/>
      <c r="G178" s="67"/>
      <c r="H178" s="167"/>
    </row>
    <row r="179" spans="1:8" x14ac:dyDescent="0.2">
      <c r="A179" s="44"/>
      <c r="B179" s="13"/>
      <c r="C179" s="13"/>
      <c r="D179" s="13"/>
      <c r="E179" s="84"/>
      <c r="F179" s="195" t="s">
        <v>177</v>
      </c>
      <c r="G179" s="75" t="s">
        <v>97</v>
      </c>
      <c r="H179" s="168" t="s">
        <v>117</v>
      </c>
    </row>
    <row r="180" spans="1:8" x14ac:dyDescent="0.2">
      <c r="A180" s="47"/>
      <c r="B180" s="45"/>
      <c r="C180" s="150"/>
      <c r="D180" s="241"/>
      <c r="E180" s="188"/>
      <c r="F180" s="188"/>
      <c r="G180" s="189"/>
      <c r="H180" s="190"/>
    </row>
    <row r="181" spans="1:8" x14ac:dyDescent="0.2">
      <c r="A181" s="35"/>
      <c r="B181" s="32" t="s">
        <v>176</v>
      </c>
      <c r="C181" s="32"/>
      <c r="D181" s="140"/>
      <c r="E181" s="140"/>
      <c r="F181" s="157">
        <f>+'Forudsætninger - bedrift'!G89</f>
        <v>75.162883435582813</v>
      </c>
      <c r="G181" s="142">
        <f>+'Forudsætninger - bedrift'!G91</f>
        <v>0</v>
      </c>
      <c r="H181" s="224">
        <f>G181*F181</f>
        <v>0</v>
      </c>
    </row>
    <row r="182" spans="1:8" x14ac:dyDescent="0.2">
      <c r="A182" s="46"/>
      <c r="B182" s="33"/>
      <c r="C182" s="9"/>
      <c r="D182" s="242"/>
      <c r="E182" s="153"/>
      <c r="F182" s="153"/>
      <c r="G182" s="155"/>
      <c r="H182" s="155"/>
    </row>
    <row r="185" spans="1:8" x14ac:dyDescent="0.2">
      <c r="A185" s="42" t="s">
        <v>116</v>
      </c>
      <c r="B185" s="27"/>
      <c r="C185" s="193"/>
      <c r="D185" s="66"/>
      <c r="E185" s="107"/>
      <c r="F185" s="107"/>
      <c r="G185" s="67"/>
      <c r="H185" s="167"/>
    </row>
    <row r="186" spans="1:8" ht="51" x14ac:dyDescent="0.2">
      <c r="A186" s="44"/>
      <c r="B186" s="13"/>
      <c r="C186" s="52"/>
      <c r="D186" s="82" t="s">
        <v>43</v>
      </c>
      <c r="E186" s="84" t="s">
        <v>42</v>
      </c>
      <c r="F186" s="84" t="s">
        <v>41</v>
      </c>
      <c r="G186" s="75" t="s">
        <v>40</v>
      </c>
      <c r="H186" s="168" t="s">
        <v>117</v>
      </c>
    </row>
    <row r="187" spans="1:8" x14ac:dyDescent="0.2">
      <c r="A187" s="47"/>
      <c r="B187" s="45"/>
      <c r="C187" s="150"/>
      <c r="D187" s="187"/>
      <c r="E187" s="188"/>
      <c r="F187" s="188"/>
      <c r="G187" s="189"/>
      <c r="H187" s="190"/>
    </row>
    <row r="188" spans="1:8" x14ac:dyDescent="0.2">
      <c r="A188" s="35"/>
      <c r="B188" s="32" t="s">
        <v>188</v>
      </c>
      <c r="C188" s="6"/>
      <c r="D188" s="248">
        <f>+'Standard værdier'!E68</f>
        <v>8</v>
      </c>
      <c r="E188" s="140"/>
      <c r="F188" s="157">
        <f>+'Standard værdier'!G68</f>
        <v>0</v>
      </c>
      <c r="G188" s="158">
        <f>IF(G149&gt;=0,+'Standard værdier'!H68,0)</f>
        <v>0</v>
      </c>
      <c r="H188" s="247"/>
    </row>
    <row r="189" spans="1:8" x14ac:dyDescent="0.2">
      <c r="A189" s="35"/>
      <c r="B189" s="80" t="s">
        <v>81</v>
      </c>
      <c r="C189" s="80"/>
      <c r="D189" s="64">
        <f>D149*D188</f>
        <v>30689.956000000006</v>
      </c>
      <c r="E189" s="81"/>
      <c r="F189" s="81">
        <f>F149*F188</f>
        <v>0</v>
      </c>
      <c r="G189" s="194">
        <f>G149*G188</f>
        <v>0</v>
      </c>
      <c r="H189" s="194">
        <f>SUM(D189:G189)</f>
        <v>30689.956000000006</v>
      </c>
    </row>
    <row r="190" spans="1:8" x14ac:dyDescent="0.2">
      <c r="A190" s="35"/>
      <c r="B190" s="32"/>
      <c r="C190" s="80"/>
      <c r="D190" s="64"/>
      <c r="E190" s="81"/>
      <c r="F190" s="81"/>
      <c r="G190" s="194"/>
      <c r="H190" s="194"/>
    </row>
    <row r="191" spans="1:8" x14ac:dyDescent="0.2">
      <c r="A191" s="35"/>
      <c r="B191" s="32" t="s">
        <v>246</v>
      </c>
      <c r="C191" s="80"/>
      <c r="D191" s="64"/>
      <c r="E191" s="81"/>
      <c r="F191" s="81"/>
      <c r="G191" s="194"/>
      <c r="H191" s="194"/>
    </row>
    <row r="192" spans="1:8" x14ac:dyDescent="0.2">
      <c r="A192" s="46"/>
      <c r="B192" s="33"/>
      <c r="C192" s="9"/>
      <c r="D192" s="172"/>
      <c r="E192" s="153"/>
      <c r="F192" s="153"/>
      <c r="G192" s="155"/>
      <c r="H192" s="155"/>
    </row>
    <row r="193" spans="1:8" x14ac:dyDescent="0.2">
      <c r="B193" s="69"/>
      <c r="C193" s="69"/>
      <c r="D193" s="69"/>
      <c r="E193" s="69"/>
      <c r="F193" s="69"/>
      <c r="G193" s="69"/>
      <c r="H193" s="69"/>
    </row>
    <row r="194" spans="1:8" x14ac:dyDescent="0.2">
      <c r="B194" s="69"/>
      <c r="C194" s="69"/>
      <c r="D194" s="69"/>
      <c r="E194" s="69"/>
      <c r="F194" s="69"/>
      <c r="G194" s="69"/>
      <c r="H194" s="69"/>
    </row>
    <row r="195" spans="1:8" x14ac:dyDescent="0.2">
      <c r="A195" s="42" t="s">
        <v>118</v>
      </c>
      <c r="B195" s="27"/>
      <c r="C195" s="27"/>
      <c r="D195" s="27"/>
      <c r="E195" s="107"/>
      <c r="F195" s="107"/>
      <c r="G195" s="67"/>
      <c r="H195" s="167"/>
    </row>
    <row r="196" spans="1:8" x14ac:dyDescent="0.2">
      <c r="A196" s="44"/>
      <c r="B196" s="13"/>
      <c r="C196" s="13"/>
      <c r="D196" s="13"/>
      <c r="E196" s="84"/>
      <c r="F196" s="195" t="s">
        <v>2</v>
      </c>
      <c r="G196" s="75" t="s">
        <v>97</v>
      </c>
      <c r="H196" s="168" t="s">
        <v>117</v>
      </c>
    </row>
    <row r="197" spans="1:8" x14ac:dyDescent="0.2">
      <c r="A197" s="47"/>
      <c r="B197" s="45"/>
      <c r="C197" s="150"/>
      <c r="D197" s="150"/>
      <c r="E197" s="188"/>
      <c r="F197" s="150"/>
      <c r="G197" s="151"/>
      <c r="H197" s="190"/>
    </row>
    <row r="198" spans="1:8" x14ac:dyDescent="0.2">
      <c r="A198" s="35"/>
      <c r="B198" s="32" t="s">
        <v>30</v>
      </c>
      <c r="C198" s="6"/>
      <c r="D198" s="6"/>
      <c r="E198" s="140"/>
      <c r="F198" s="185">
        <f>+'Forudsætninger - bedrift'!H157</f>
        <v>0</v>
      </c>
      <c r="G198" s="196">
        <f>+'Forudsætninger - bedrift'!G157</f>
        <v>750</v>
      </c>
      <c r="H198" s="171">
        <f t="shared" ref="H198:H204" si="4">G198*F198</f>
        <v>0</v>
      </c>
    </row>
    <row r="199" spans="1:8" x14ac:dyDescent="0.2">
      <c r="A199" s="35"/>
      <c r="B199" s="32" t="s">
        <v>29</v>
      </c>
      <c r="C199" s="6"/>
      <c r="D199" s="6"/>
      <c r="E199" s="140"/>
      <c r="F199" s="185">
        <f>+'Forudsætninger - bedrift'!H158</f>
        <v>0</v>
      </c>
      <c r="G199" s="196">
        <f>+'Forudsætninger - bedrift'!G158</f>
        <v>900</v>
      </c>
      <c r="H199" s="171">
        <f t="shared" si="4"/>
        <v>0</v>
      </c>
    </row>
    <row r="200" spans="1:8" x14ac:dyDescent="0.2">
      <c r="A200" s="35"/>
      <c r="B200" s="32" t="s">
        <v>28</v>
      </c>
      <c r="C200" s="6"/>
      <c r="D200" s="6"/>
      <c r="E200" s="140"/>
      <c r="F200" s="315">
        <f>F153</f>
        <v>9183.7919463087237</v>
      </c>
      <c r="G200" s="196">
        <f>+'Forudsætninger - bedrift'!G159</f>
        <v>20</v>
      </c>
      <c r="H200" s="171">
        <f t="shared" si="4"/>
        <v>183675.83892617447</v>
      </c>
    </row>
    <row r="201" spans="1:8" x14ac:dyDescent="0.2">
      <c r="A201" s="35"/>
      <c r="B201" s="32" t="s">
        <v>292</v>
      </c>
      <c r="C201" s="6"/>
      <c r="D201" s="6"/>
      <c r="E201" s="140"/>
      <c r="F201" s="7">
        <f>+SUM(D18:D24)-C103</f>
        <v>0</v>
      </c>
      <c r="G201" s="196">
        <f>+'Forudsætninger - bedrift'!G160</f>
        <v>12</v>
      </c>
      <c r="H201" s="171">
        <f t="shared" si="4"/>
        <v>0</v>
      </c>
    </row>
    <row r="202" spans="1:8" x14ac:dyDescent="0.2">
      <c r="A202" s="35"/>
      <c r="B202" s="32" t="s">
        <v>293</v>
      </c>
      <c r="C202" s="6"/>
      <c r="D202" s="6"/>
      <c r="E202" s="140"/>
      <c r="F202" s="7">
        <f>+SUM(D18:D24)-C103</f>
        <v>0</v>
      </c>
      <c r="G202" s="196">
        <f>+'Forudsætninger - bedrift'!G161</f>
        <v>25</v>
      </c>
      <c r="H202" s="171">
        <f t="shared" si="4"/>
        <v>0</v>
      </c>
    </row>
    <row r="203" spans="1:8" x14ac:dyDescent="0.2">
      <c r="A203" s="35"/>
      <c r="B203" s="32" t="s">
        <v>27</v>
      </c>
      <c r="C203" s="6"/>
      <c r="D203" s="6"/>
      <c r="E203" s="140"/>
      <c r="F203" s="7"/>
      <c r="G203" s="196">
        <f>+'Forudsætninger - bedrift'!G162</f>
        <v>20</v>
      </c>
      <c r="H203" s="171">
        <f t="shared" si="4"/>
        <v>0</v>
      </c>
    </row>
    <row r="204" spans="1:8" x14ac:dyDescent="0.2">
      <c r="A204" s="35"/>
      <c r="B204" s="32" t="s">
        <v>274</v>
      </c>
      <c r="C204" s="6"/>
      <c r="D204" s="6"/>
      <c r="E204" s="140"/>
      <c r="F204" s="7"/>
      <c r="G204" s="196">
        <f>+'Forudsætninger - bedrift'!G163</f>
        <v>0</v>
      </c>
      <c r="H204" s="171">
        <f t="shared" si="4"/>
        <v>0</v>
      </c>
    </row>
    <row r="205" spans="1:8" x14ac:dyDescent="0.2">
      <c r="A205" s="38"/>
      <c r="B205" s="39" t="s">
        <v>119</v>
      </c>
      <c r="C205" s="144"/>
      <c r="D205" s="144"/>
      <c r="E205" s="144"/>
      <c r="F205" s="144"/>
      <c r="G205" s="146"/>
      <c r="H205" s="179">
        <f>SUM(H198:H204)</f>
        <v>183675.83892617447</v>
      </c>
    </row>
    <row r="206" spans="1:8" x14ac:dyDescent="0.2">
      <c r="B206" s="69"/>
      <c r="C206" s="69"/>
      <c r="D206" s="69"/>
      <c r="E206" s="69"/>
      <c r="F206" s="69"/>
      <c r="G206" s="69"/>
      <c r="H206" s="69"/>
    </row>
    <row r="207" spans="1:8" x14ac:dyDescent="0.2">
      <c r="B207" s="71"/>
      <c r="C207" s="74"/>
      <c r="D207" s="74"/>
      <c r="E207" s="71"/>
      <c r="F207" s="71"/>
    </row>
    <row r="208" spans="1:8" x14ac:dyDescent="0.2">
      <c r="A208" s="42" t="s">
        <v>147</v>
      </c>
      <c r="B208" s="27"/>
      <c r="C208" s="27"/>
      <c r="D208" s="27"/>
      <c r="E208" s="107"/>
      <c r="F208" s="107"/>
      <c r="G208" s="67"/>
      <c r="H208" s="167"/>
    </row>
    <row r="209" spans="1:16" x14ac:dyDescent="0.2">
      <c r="A209" s="44"/>
      <c r="B209" s="13"/>
      <c r="C209" s="13"/>
      <c r="D209" s="195"/>
      <c r="E209" s="195" t="s">
        <v>2</v>
      </c>
      <c r="F209" s="195" t="s">
        <v>2</v>
      </c>
      <c r="G209" s="75" t="s">
        <v>97</v>
      </c>
      <c r="H209" s="168" t="s">
        <v>117</v>
      </c>
    </row>
    <row r="210" spans="1:16" x14ac:dyDescent="0.2">
      <c r="A210" s="35"/>
      <c r="B210" s="32"/>
      <c r="C210" s="6"/>
      <c r="D210" s="6"/>
      <c r="E210" s="140"/>
      <c r="F210" s="105"/>
      <c r="G210" s="196"/>
      <c r="H210" s="171"/>
    </row>
    <row r="211" spans="1:16" x14ac:dyDescent="0.2">
      <c r="A211" s="35"/>
      <c r="B211" s="32" t="s">
        <v>344</v>
      </c>
      <c r="C211" s="6"/>
      <c r="D211" s="6"/>
      <c r="E211" s="140"/>
      <c r="F211" s="140">
        <f>'Forudsætninger - bedrift'!G137</f>
        <v>3000</v>
      </c>
      <c r="G211" s="236">
        <f>+'Standard værdier'!G110</f>
        <v>15.4</v>
      </c>
      <c r="H211" s="171">
        <f t="shared" ref="H211:H217" si="5">F211*G211</f>
        <v>46200</v>
      </c>
    </row>
    <row r="212" spans="1:16" x14ac:dyDescent="0.2">
      <c r="A212" s="35"/>
      <c r="B212" s="32" t="s">
        <v>247</v>
      </c>
      <c r="C212" s="6"/>
      <c r="D212" s="6"/>
      <c r="E212" s="140"/>
      <c r="F212" s="140">
        <f>+F211</f>
        <v>3000</v>
      </c>
      <c r="G212" s="236">
        <f>+'Standard værdier'!G111</f>
        <v>0</v>
      </c>
      <c r="H212" s="171">
        <f>F212*G212</f>
        <v>0</v>
      </c>
    </row>
    <row r="213" spans="1:16" x14ac:dyDescent="0.2">
      <c r="A213" s="35"/>
      <c r="B213" s="32" t="s">
        <v>193</v>
      </c>
      <c r="C213" s="6"/>
      <c r="D213" s="6"/>
      <c r="E213" s="140"/>
      <c r="F213" s="140">
        <f>+F200-F212</f>
        <v>6183.7919463087237</v>
      </c>
      <c r="G213" s="236">
        <f>+'Standard værdier'!G112</f>
        <v>0</v>
      </c>
      <c r="H213" s="171">
        <f t="shared" si="5"/>
        <v>0</v>
      </c>
    </row>
    <row r="214" spans="1:16" x14ac:dyDescent="0.2">
      <c r="A214" s="35"/>
      <c r="B214" s="32" t="s">
        <v>189</v>
      </c>
      <c r="C214" s="6"/>
      <c r="D214" s="6"/>
      <c r="E214" s="140"/>
      <c r="F214" s="140">
        <f>+(F11+F12)*C$102/F$25</f>
        <v>0</v>
      </c>
      <c r="G214" s="236">
        <f>+'Standard værdier'!G113</f>
        <v>-5.71</v>
      </c>
      <c r="H214" s="171">
        <f t="shared" si="5"/>
        <v>0</v>
      </c>
    </row>
    <row r="215" spans="1:16" x14ac:dyDescent="0.2">
      <c r="A215" s="35"/>
      <c r="B215" s="32" t="s">
        <v>190</v>
      </c>
      <c r="C215" s="6"/>
      <c r="D215" s="6"/>
      <c r="E215" s="140"/>
      <c r="F215" s="140">
        <f>+(F13+F14)*C$102/F$25</f>
        <v>0</v>
      </c>
      <c r="G215" s="236">
        <f>+'Standard værdier'!G114</f>
        <v>-4.04</v>
      </c>
      <c r="H215" s="171">
        <f t="shared" si="5"/>
        <v>0</v>
      </c>
    </row>
    <row r="216" spans="1:16" x14ac:dyDescent="0.2">
      <c r="A216" s="35"/>
      <c r="B216" s="32" t="s">
        <v>191</v>
      </c>
      <c r="C216" s="6"/>
      <c r="D216" s="6"/>
      <c r="E216" s="140"/>
      <c r="F216" s="140">
        <f>+F15*C$102/F$25</f>
        <v>3000</v>
      </c>
      <c r="G216" s="236">
        <f>+'Standard værdier'!G115</f>
        <v>-5.96</v>
      </c>
      <c r="H216" s="171">
        <f t="shared" si="5"/>
        <v>-17880</v>
      </c>
    </row>
    <row r="217" spans="1:16" x14ac:dyDescent="0.2">
      <c r="A217" s="35"/>
      <c r="B217" s="32" t="s">
        <v>192</v>
      </c>
      <c r="C217" s="6"/>
      <c r="D217" s="6"/>
      <c r="E217" s="140"/>
      <c r="F217" s="140">
        <f>+F16*C$102/F$25</f>
        <v>0</v>
      </c>
      <c r="G217" s="236">
        <f>+'Standard værdier'!G116</f>
        <v>-4.51</v>
      </c>
      <c r="H217" s="171">
        <f t="shared" si="5"/>
        <v>0</v>
      </c>
    </row>
    <row r="218" spans="1:16" x14ac:dyDescent="0.2">
      <c r="A218" s="35"/>
      <c r="B218" s="32" t="s">
        <v>200</v>
      </c>
      <c r="C218" s="6"/>
      <c r="E218" s="140">
        <f>+'Standard værdier'!F117</f>
        <v>10</v>
      </c>
      <c r="F218" s="7">
        <f>+(+F213+F212)/'Standard værdier'!G136</f>
        <v>286.99349832214762</v>
      </c>
      <c r="G218" s="236">
        <f>+'Standard værdier'!G117</f>
        <v>0</v>
      </c>
      <c r="H218" s="171">
        <f>F218*G218*E218</f>
        <v>0</v>
      </c>
    </row>
    <row r="219" spans="1:16" x14ac:dyDescent="0.2">
      <c r="A219" s="35"/>
      <c r="B219" s="32" t="s">
        <v>201</v>
      </c>
      <c r="C219" s="6"/>
      <c r="D219" s="6"/>
      <c r="E219" s="140">
        <f>+'Standard værdier'!F118</f>
        <v>10</v>
      </c>
      <c r="F219" s="7">
        <f>+F211/'Standard værdier'!G136</f>
        <v>93.75</v>
      </c>
      <c r="G219" s="236">
        <f>+'Standard værdier'!G118</f>
        <v>12</v>
      </c>
      <c r="H219" s="171">
        <f>F219*G219*E219</f>
        <v>11250</v>
      </c>
      <c r="K219" s="299" t="s">
        <v>203</v>
      </c>
      <c r="L219" s="299"/>
      <c r="M219" s="299"/>
      <c r="N219" s="299"/>
      <c r="O219" s="299"/>
      <c r="P219" s="299"/>
    </row>
    <row r="220" spans="1:16" x14ac:dyDescent="0.2">
      <c r="A220" s="35"/>
      <c r="B220" s="32" t="s">
        <v>202</v>
      </c>
      <c r="C220" s="6"/>
      <c r="D220" s="6"/>
      <c r="E220" s="140">
        <f>+'Standard værdier'!F119</f>
        <v>0</v>
      </c>
      <c r="F220" s="140">
        <f>+F211</f>
        <v>3000</v>
      </c>
      <c r="G220" s="236">
        <f>+'Standard værdier'!G119</f>
        <v>1</v>
      </c>
      <c r="H220" s="171">
        <f>F220*G220*E220</f>
        <v>0</v>
      </c>
      <c r="K220" s="299" t="s">
        <v>204</v>
      </c>
      <c r="L220" s="299" t="s">
        <v>205</v>
      </c>
      <c r="M220" s="299" t="s">
        <v>206</v>
      </c>
      <c r="N220" s="299" t="s">
        <v>207</v>
      </c>
      <c r="O220" s="299" t="s">
        <v>97</v>
      </c>
      <c r="P220" s="299" t="s">
        <v>208</v>
      </c>
    </row>
    <row r="221" spans="1:16" x14ac:dyDescent="0.2">
      <c r="A221" s="35"/>
      <c r="B221" s="32" t="s">
        <v>209</v>
      </c>
      <c r="C221" s="6"/>
      <c r="D221" s="6"/>
      <c r="E221" s="140"/>
      <c r="F221" s="140">
        <f t="shared" ref="F221:F226" si="6">+F243</f>
        <v>0</v>
      </c>
      <c r="G221" s="236">
        <f t="shared" ref="G221:G226" si="7">-P221</f>
        <v>-10.664999999999997</v>
      </c>
      <c r="H221" s="171">
        <f t="shared" ref="H221:H225" si="8">F221*G221</f>
        <v>0</v>
      </c>
      <c r="K221" s="300">
        <f>+'Standard værdier'!E129</f>
        <v>4.22</v>
      </c>
      <c r="L221" s="299">
        <f t="shared" ref="L221:L226" si="9">+K221*-(1-E11)</f>
        <v>0</v>
      </c>
      <c r="M221" s="300">
        <f>+'Standard værdier'!F129</f>
        <v>-2.64</v>
      </c>
      <c r="N221" s="300">
        <f t="shared" ref="N221:N226" si="10">SUM(K221:M221)</f>
        <v>1.5799999999999996</v>
      </c>
      <c r="O221" s="300">
        <f>+'Standard værdier'!H$68</f>
        <v>6.75</v>
      </c>
      <c r="P221" s="300">
        <f t="shared" ref="P221:P226" si="11">+N221*O221</f>
        <v>10.664999999999997</v>
      </c>
    </row>
    <row r="222" spans="1:16" x14ac:dyDescent="0.2">
      <c r="A222" s="35"/>
      <c r="B222" s="32" t="s">
        <v>210</v>
      </c>
      <c r="C222" s="6"/>
      <c r="D222" s="6"/>
      <c r="E222" s="140"/>
      <c r="F222" s="140">
        <f t="shared" si="6"/>
        <v>0</v>
      </c>
      <c r="G222" s="236">
        <f t="shared" si="7"/>
        <v>-10.664999999999997</v>
      </c>
      <c r="H222" s="171">
        <f t="shared" si="8"/>
        <v>0</v>
      </c>
      <c r="K222" s="300">
        <f>+'Standard værdier'!E130</f>
        <v>4.22</v>
      </c>
      <c r="L222" s="299">
        <f t="shared" si="9"/>
        <v>0</v>
      </c>
      <c r="M222" s="300">
        <f>+'Standard værdier'!F130</f>
        <v>-2.64</v>
      </c>
      <c r="N222" s="300">
        <f t="shared" si="10"/>
        <v>1.5799999999999996</v>
      </c>
      <c r="O222" s="300">
        <f>+'Standard værdier'!H$68</f>
        <v>6.75</v>
      </c>
      <c r="P222" s="300">
        <f t="shared" si="11"/>
        <v>10.664999999999997</v>
      </c>
    </row>
    <row r="223" spans="1:16" x14ac:dyDescent="0.2">
      <c r="A223" s="35"/>
      <c r="B223" s="32" t="s">
        <v>211</v>
      </c>
      <c r="C223" s="6"/>
      <c r="D223" s="6"/>
      <c r="E223" s="140"/>
      <c r="F223" s="140">
        <f t="shared" si="6"/>
        <v>0</v>
      </c>
      <c r="G223" s="236">
        <f t="shared" si="7"/>
        <v>4.3200000000000012</v>
      </c>
      <c r="H223" s="171">
        <f t="shared" si="8"/>
        <v>0</v>
      </c>
      <c r="K223" s="300">
        <f>+'Standard værdier'!E131</f>
        <v>2</v>
      </c>
      <c r="L223" s="299">
        <f t="shared" si="9"/>
        <v>0</v>
      </c>
      <c r="M223" s="300">
        <f>+'Standard værdier'!F131</f>
        <v>-2.64</v>
      </c>
      <c r="N223" s="300">
        <f t="shared" si="10"/>
        <v>-0.64000000000000012</v>
      </c>
      <c r="O223" s="300">
        <f>+'Standard værdier'!H$68</f>
        <v>6.75</v>
      </c>
      <c r="P223" s="300">
        <f t="shared" si="11"/>
        <v>-4.3200000000000012</v>
      </c>
    </row>
    <row r="224" spans="1:16" x14ac:dyDescent="0.2">
      <c r="A224" s="35"/>
      <c r="B224" s="32" t="s">
        <v>212</v>
      </c>
      <c r="C224" s="6"/>
      <c r="D224" s="6"/>
      <c r="E224" s="140"/>
      <c r="F224" s="140">
        <f t="shared" si="6"/>
        <v>0</v>
      </c>
      <c r="G224" s="236">
        <f t="shared" si="7"/>
        <v>4.3200000000000012</v>
      </c>
      <c r="H224" s="171">
        <f t="shared" si="8"/>
        <v>0</v>
      </c>
      <c r="K224" s="300">
        <f>+'Standard værdier'!E132</f>
        <v>2</v>
      </c>
      <c r="L224" s="299">
        <f t="shared" si="9"/>
        <v>0</v>
      </c>
      <c r="M224" s="300">
        <f>+'Standard værdier'!F132</f>
        <v>-2.64</v>
      </c>
      <c r="N224" s="300">
        <f t="shared" si="10"/>
        <v>-0.64000000000000012</v>
      </c>
      <c r="O224" s="300">
        <f>+'Standard værdier'!H$68</f>
        <v>6.75</v>
      </c>
      <c r="P224" s="300">
        <f t="shared" si="11"/>
        <v>-4.3200000000000012</v>
      </c>
    </row>
    <row r="225" spans="1:16" x14ac:dyDescent="0.2">
      <c r="A225" s="35"/>
      <c r="B225" s="32" t="s">
        <v>213</v>
      </c>
      <c r="C225" s="6"/>
      <c r="D225" s="6"/>
      <c r="E225" s="140"/>
      <c r="F225" s="140">
        <f t="shared" si="6"/>
        <v>3000</v>
      </c>
      <c r="G225" s="236">
        <f t="shared" si="7"/>
        <v>2.2831874999999995</v>
      </c>
      <c r="H225" s="171">
        <f t="shared" si="8"/>
        <v>6849.5624999999982</v>
      </c>
      <c r="K225" s="300">
        <f>+'Standard værdier'!E133</f>
        <v>2.79</v>
      </c>
      <c r="L225" s="299">
        <f t="shared" si="9"/>
        <v>-0.4882499999999998</v>
      </c>
      <c r="M225" s="300">
        <f>+'Standard værdier'!F133</f>
        <v>-2.64</v>
      </c>
      <c r="N225" s="300">
        <f t="shared" si="10"/>
        <v>-0.33824999999999994</v>
      </c>
      <c r="O225" s="300">
        <f>+'Standard værdier'!H$68</f>
        <v>6.75</v>
      </c>
      <c r="P225" s="300">
        <f t="shared" si="11"/>
        <v>-2.2831874999999995</v>
      </c>
    </row>
    <row r="226" spans="1:16" x14ac:dyDescent="0.2">
      <c r="A226" s="35"/>
      <c r="B226" s="32" t="s">
        <v>214</v>
      </c>
      <c r="C226" s="6"/>
      <c r="D226" s="6"/>
      <c r="E226" s="140"/>
      <c r="F226" s="140">
        <f t="shared" si="6"/>
        <v>0</v>
      </c>
      <c r="G226" s="236">
        <f t="shared" si="7"/>
        <v>17.690510204081633</v>
      </c>
      <c r="H226" s="171">
        <f>F226*G226</f>
        <v>0</v>
      </c>
      <c r="K226" s="300">
        <f>+'Standard værdier'!E134</f>
        <v>0.94</v>
      </c>
      <c r="L226" s="299">
        <f t="shared" si="9"/>
        <v>-0.92081632653061218</v>
      </c>
      <c r="M226" s="300">
        <f>+'Standard værdier'!F134</f>
        <v>-2.64</v>
      </c>
      <c r="N226" s="300">
        <f t="shared" si="10"/>
        <v>-2.6208163265306124</v>
      </c>
      <c r="O226" s="300">
        <f>+'Standard værdier'!H$68</f>
        <v>6.75</v>
      </c>
      <c r="P226" s="300">
        <f t="shared" si="11"/>
        <v>-17.690510204081633</v>
      </c>
    </row>
    <row r="227" spans="1:16" x14ac:dyDescent="0.2">
      <c r="A227" s="35"/>
      <c r="B227" s="32" t="s">
        <v>234</v>
      </c>
      <c r="C227" s="6"/>
      <c r="D227" s="6"/>
      <c r="E227" s="140"/>
      <c r="F227" s="140">
        <f>IF(F213+F212&lt;F211,+F211-F213-F212,0)</f>
        <v>0</v>
      </c>
      <c r="G227" s="236">
        <f>+'Standard værdier'!G135</f>
        <v>20</v>
      </c>
      <c r="H227" s="171">
        <f>F227*G227</f>
        <v>0</v>
      </c>
      <c r="K227" s="250"/>
      <c r="M227" s="250"/>
      <c r="N227" s="251"/>
      <c r="O227" s="252"/>
      <c r="P227" s="251"/>
    </row>
    <row r="228" spans="1:16" x14ac:dyDescent="0.2">
      <c r="A228" s="35"/>
      <c r="B228" s="32"/>
      <c r="C228" s="6"/>
      <c r="D228" s="6"/>
      <c r="E228" s="140"/>
      <c r="F228" s="140"/>
      <c r="G228" s="236"/>
      <c r="H228" s="171"/>
      <c r="K228" s="250"/>
      <c r="M228" s="250"/>
      <c r="N228" s="251"/>
      <c r="O228" s="252"/>
      <c r="P228" s="251"/>
    </row>
    <row r="229" spans="1:16" x14ac:dyDescent="0.2">
      <c r="A229" s="35"/>
      <c r="B229" s="32" t="s">
        <v>298</v>
      </c>
      <c r="C229" s="6"/>
      <c r="D229" s="6"/>
      <c r="E229" s="140"/>
      <c r="F229" s="140">
        <f t="shared" ref="F229:F235" si="12">IF(SUM(D$18:D$24)&lt;&gt;0,+D18*C$103/SUM(D$18:D$24),0)</f>
        <v>0</v>
      </c>
      <c r="G229" s="236">
        <f>+'Standard værdier'!G121</f>
        <v>20</v>
      </c>
      <c r="H229" s="171">
        <f t="shared" ref="H229:H235" si="13">F229*G229</f>
        <v>0</v>
      </c>
      <c r="K229" s="250"/>
      <c r="M229" s="250"/>
      <c r="N229" s="251"/>
      <c r="O229" s="252"/>
      <c r="P229" s="251"/>
    </row>
    <row r="230" spans="1:16" x14ac:dyDescent="0.2">
      <c r="A230" s="35"/>
      <c r="B230" s="32" t="s">
        <v>299</v>
      </c>
      <c r="C230" s="6"/>
      <c r="D230" s="6"/>
      <c r="E230" s="140"/>
      <c r="F230" s="140">
        <f t="shared" si="12"/>
        <v>0</v>
      </c>
      <c r="G230" s="236">
        <f>+'Standard værdier'!G122</f>
        <v>20</v>
      </c>
      <c r="H230" s="171">
        <f t="shared" si="13"/>
        <v>0</v>
      </c>
      <c r="K230" s="250"/>
      <c r="M230" s="250"/>
      <c r="N230" s="251"/>
      <c r="O230" s="252"/>
      <c r="P230" s="251"/>
    </row>
    <row r="231" spans="1:16" x14ac:dyDescent="0.2">
      <c r="A231" s="35"/>
      <c r="B231" s="32" t="s">
        <v>300</v>
      </c>
      <c r="C231" s="6"/>
      <c r="D231" s="6"/>
      <c r="E231" s="140"/>
      <c r="F231" s="140">
        <f t="shared" si="12"/>
        <v>0</v>
      </c>
      <c r="G231" s="236">
        <f>+'Standard værdier'!G123</f>
        <v>20</v>
      </c>
      <c r="H231" s="171">
        <f t="shared" si="13"/>
        <v>0</v>
      </c>
      <c r="K231" s="250"/>
      <c r="M231" s="250"/>
      <c r="N231" s="251"/>
      <c r="O231" s="252"/>
      <c r="P231" s="251"/>
    </row>
    <row r="232" spans="1:16" x14ac:dyDescent="0.2">
      <c r="A232" s="35"/>
      <c r="B232" s="32" t="s">
        <v>301</v>
      </c>
      <c r="C232" s="6"/>
      <c r="D232" s="6"/>
      <c r="E232" s="140"/>
      <c r="F232" s="140">
        <f t="shared" si="12"/>
        <v>0</v>
      </c>
      <c r="G232" s="236">
        <f>+'Standard værdier'!G124</f>
        <v>20</v>
      </c>
      <c r="H232" s="171">
        <f t="shared" si="13"/>
        <v>0</v>
      </c>
      <c r="K232" s="250"/>
      <c r="M232" s="250"/>
      <c r="N232" s="251"/>
      <c r="O232" s="252"/>
      <c r="P232" s="251"/>
    </row>
    <row r="233" spans="1:16" x14ac:dyDescent="0.2">
      <c r="A233" s="35"/>
      <c r="B233" s="32" t="s">
        <v>302</v>
      </c>
      <c r="C233" s="6"/>
      <c r="D233" s="6"/>
      <c r="E233" s="140"/>
      <c r="F233" s="140">
        <f t="shared" si="12"/>
        <v>0</v>
      </c>
      <c r="G233" s="236">
        <f>+'Standard værdier'!G125</f>
        <v>20</v>
      </c>
      <c r="H233" s="171">
        <f t="shared" si="13"/>
        <v>0</v>
      </c>
      <c r="K233" s="250"/>
      <c r="M233" s="250"/>
      <c r="N233" s="251"/>
      <c r="O233" s="252"/>
      <c r="P233" s="251"/>
    </row>
    <row r="234" spans="1:16" x14ac:dyDescent="0.2">
      <c r="A234" s="35"/>
      <c r="B234" s="32" t="s">
        <v>303</v>
      </c>
      <c r="C234" s="6"/>
      <c r="D234" s="6"/>
      <c r="E234" s="140"/>
      <c r="F234" s="140">
        <f t="shared" si="12"/>
        <v>0</v>
      </c>
      <c r="G234" s="236">
        <f>+'Standard værdier'!G126</f>
        <v>20</v>
      </c>
      <c r="H234" s="171">
        <f t="shared" si="13"/>
        <v>0</v>
      </c>
      <c r="K234" s="250"/>
      <c r="M234" s="250"/>
      <c r="N234" s="251"/>
      <c r="O234" s="252"/>
      <c r="P234" s="251"/>
    </row>
    <row r="235" spans="1:16" x14ac:dyDescent="0.2">
      <c r="A235" s="35"/>
      <c r="B235" s="32" t="s">
        <v>304</v>
      </c>
      <c r="C235" s="6"/>
      <c r="D235" s="6"/>
      <c r="E235" s="140"/>
      <c r="F235" s="140">
        <f t="shared" si="12"/>
        <v>0</v>
      </c>
      <c r="G235" s="236">
        <f>+'Standard værdier'!G127</f>
        <v>20</v>
      </c>
      <c r="H235" s="171">
        <f t="shared" si="13"/>
        <v>0</v>
      </c>
      <c r="K235" s="250"/>
      <c r="M235" s="250"/>
      <c r="N235" s="251"/>
      <c r="O235" s="252"/>
      <c r="P235" s="251"/>
    </row>
    <row r="236" spans="1:16" x14ac:dyDescent="0.2">
      <c r="A236" s="35"/>
      <c r="B236" s="32"/>
      <c r="C236" s="6"/>
      <c r="D236" s="6"/>
      <c r="E236" s="140"/>
      <c r="F236" s="235"/>
      <c r="G236" s="225"/>
      <c r="H236" s="171"/>
    </row>
    <row r="237" spans="1:16" x14ac:dyDescent="0.2">
      <c r="A237" s="38"/>
      <c r="B237" s="39" t="s">
        <v>140</v>
      </c>
      <c r="C237" s="144"/>
      <c r="D237" s="144"/>
      <c r="E237" s="144"/>
      <c r="F237" s="144"/>
      <c r="G237" s="146"/>
      <c r="H237" s="179">
        <f>SUM(H210:H236)</f>
        <v>46419.5625</v>
      </c>
    </row>
    <row r="238" spans="1:16" x14ac:dyDescent="0.2">
      <c r="B238" s="71"/>
    </row>
    <row r="239" spans="1:16" x14ac:dyDescent="0.2">
      <c r="B239" s="71"/>
    </row>
    <row r="240" spans="1:16" x14ac:dyDescent="0.2">
      <c r="A240" s="42" t="s">
        <v>219</v>
      </c>
      <c r="B240" s="27"/>
      <c r="C240" s="27"/>
      <c r="D240" s="27"/>
      <c r="E240" s="107"/>
      <c r="F240" s="107"/>
      <c r="G240" s="67"/>
      <c r="H240" s="167"/>
    </row>
    <row r="241" spans="1:8" ht="38.25" x14ac:dyDescent="0.2">
      <c r="A241" s="44"/>
      <c r="B241" s="13"/>
      <c r="C241" s="84" t="s">
        <v>235</v>
      </c>
      <c r="D241" s="195" t="s">
        <v>220</v>
      </c>
      <c r="E241" s="195" t="s">
        <v>222</v>
      </c>
      <c r="F241" s="195" t="s">
        <v>139</v>
      </c>
      <c r="G241" s="75" t="s">
        <v>221</v>
      </c>
      <c r="H241" s="168" t="s">
        <v>117</v>
      </c>
    </row>
    <row r="242" spans="1:8" x14ac:dyDescent="0.2">
      <c r="A242" s="35"/>
      <c r="B242" s="32"/>
      <c r="C242" s="6"/>
      <c r="D242" s="6"/>
      <c r="E242" s="140"/>
      <c r="F242" s="105"/>
      <c r="G242" s="196"/>
      <c r="H242" s="171"/>
    </row>
    <row r="243" spans="1:8" x14ac:dyDescent="0.2">
      <c r="A243" s="35"/>
      <c r="B243" s="32" t="s">
        <v>194</v>
      </c>
      <c r="C243" s="6">
        <f>+'Standard værdier'!G11</f>
        <v>9.3000000000000007</v>
      </c>
      <c r="D243" s="185">
        <f>+'Forudsætninger - bedrift'!G102</f>
        <v>9.3000000000000007</v>
      </c>
      <c r="E243" s="243">
        <f t="shared" ref="E243:E248" si="14">+(D243-C243)</f>
        <v>0</v>
      </c>
      <c r="F243" s="140">
        <f t="shared" ref="F243:F248" si="15">+F11*C$102/F$25</f>
        <v>0</v>
      </c>
      <c r="G243" s="236">
        <f>+'Standard værdier'!E138</f>
        <v>-0.66</v>
      </c>
      <c r="H243" s="171">
        <f t="shared" ref="H243:H248" si="16">F243*G243*10*E243</f>
        <v>0</v>
      </c>
    </row>
    <row r="244" spans="1:8" x14ac:dyDescent="0.2">
      <c r="A244" s="35"/>
      <c r="B244" s="32" t="s">
        <v>195</v>
      </c>
      <c r="C244" s="6">
        <f>+'Standard værdier'!G12</f>
        <v>9.3000000000000007</v>
      </c>
      <c r="D244" s="185">
        <f>+'Forudsætninger - bedrift'!G103</f>
        <v>9.3000000000000007</v>
      </c>
      <c r="E244" s="243">
        <f t="shared" si="14"/>
        <v>0</v>
      </c>
      <c r="F244" s="140">
        <f t="shared" si="15"/>
        <v>0</v>
      </c>
      <c r="G244" s="236">
        <f>+'Standard værdier'!E139</f>
        <v>-0.66</v>
      </c>
      <c r="H244" s="171">
        <f t="shared" si="16"/>
        <v>0</v>
      </c>
    </row>
    <row r="245" spans="1:8" x14ac:dyDescent="0.2">
      <c r="A245" s="35"/>
      <c r="B245" s="32" t="s">
        <v>196</v>
      </c>
      <c r="C245" s="6">
        <f>+'Standard værdier'!G13</f>
        <v>4.8</v>
      </c>
      <c r="D245" s="185">
        <f>+'Forudsætninger - bedrift'!G104</f>
        <v>4.5</v>
      </c>
      <c r="E245" s="243">
        <f t="shared" si="14"/>
        <v>-0.29999999999999982</v>
      </c>
      <c r="F245" s="140">
        <f t="shared" si="15"/>
        <v>0</v>
      </c>
      <c r="G245" s="236">
        <f>+'Standard værdier'!E140</f>
        <v>-0.93</v>
      </c>
      <c r="H245" s="171">
        <f t="shared" si="16"/>
        <v>0</v>
      </c>
    </row>
    <row r="246" spans="1:8" x14ac:dyDescent="0.2">
      <c r="A246" s="35"/>
      <c r="B246" s="32" t="s">
        <v>197</v>
      </c>
      <c r="C246" s="6">
        <f>+'Standard værdier'!G14</f>
        <v>4.8</v>
      </c>
      <c r="D246" s="185">
        <f>+'Forudsætninger - bedrift'!G105</f>
        <v>4.5999999999999996</v>
      </c>
      <c r="E246" s="243">
        <f t="shared" si="14"/>
        <v>-0.20000000000000018</v>
      </c>
      <c r="F246" s="140">
        <f t="shared" si="15"/>
        <v>0</v>
      </c>
      <c r="G246" s="236">
        <f>+'Standard værdier'!E141</f>
        <v>-0.93</v>
      </c>
      <c r="H246" s="171">
        <f t="shared" si="16"/>
        <v>0</v>
      </c>
    </row>
    <row r="247" spans="1:8" x14ac:dyDescent="0.2">
      <c r="A247" s="35"/>
      <c r="B247" s="32" t="s">
        <v>198</v>
      </c>
      <c r="C247" s="6">
        <f>+'Standard værdier'!G15</f>
        <v>6.8</v>
      </c>
      <c r="D247" s="185">
        <f>+'Forudsætninger - bedrift'!G106</f>
        <v>5.61</v>
      </c>
      <c r="E247" s="243">
        <f t="shared" si="14"/>
        <v>-1.1899999999999995</v>
      </c>
      <c r="F247" s="140">
        <f t="shared" si="15"/>
        <v>3000</v>
      </c>
      <c r="G247" s="236">
        <f>+'Standard værdier'!E142</f>
        <v>-0.93</v>
      </c>
      <c r="H247" s="171">
        <f t="shared" si="16"/>
        <v>33200.999999999985</v>
      </c>
    </row>
    <row r="248" spans="1:8" x14ac:dyDescent="0.2">
      <c r="A248" s="35"/>
      <c r="B248" s="32" t="s">
        <v>199</v>
      </c>
      <c r="C248" s="6">
        <f>+'Standard værdier'!G16</f>
        <v>4.9000000000000004</v>
      </c>
      <c r="D248" s="185">
        <f>+'Forudsætninger - bedrift'!G107</f>
        <v>0.1</v>
      </c>
      <c r="E248" s="243">
        <f t="shared" si="14"/>
        <v>-4.8000000000000007</v>
      </c>
      <c r="F248" s="140">
        <f t="shared" si="15"/>
        <v>0</v>
      </c>
      <c r="G248" s="236">
        <f>+'Standard værdier'!E143</f>
        <v>-1.01</v>
      </c>
      <c r="H248" s="171">
        <f t="shared" si="16"/>
        <v>0</v>
      </c>
    </row>
    <row r="249" spans="1:8" x14ac:dyDescent="0.2">
      <c r="A249" s="35"/>
      <c r="B249" s="32"/>
      <c r="C249" s="6"/>
      <c r="D249" s="6"/>
      <c r="E249" s="140"/>
      <c r="F249" s="235"/>
      <c r="G249" s="225"/>
      <c r="H249" s="171"/>
    </row>
    <row r="250" spans="1:8" x14ac:dyDescent="0.2">
      <c r="A250" s="38"/>
      <c r="B250" s="39" t="s">
        <v>223</v>
      </c>
      <c r="C250" s="144"/>
      <c r="D250" s="144"/>
      <c r="E250" s="144"/>
      <c r="F250" s="144"/>
      <c r="G250" s="146"/>
      <c r="H250" s="179">
        <f>SUM(H242:H249)</f>
        <v>33200.999999999985</v>
      </c>
    </row>
    <row r="251" spans="1:8" x14ac:dyDescent="0.2">
      <c r="B251" s="71"/>
    </row>
    <row r="252" spans="1:8" x14ac:dyDescent="0.2">
      <c r="B252" s="71"/>
    </row>
    <row r="253" spans="1:8" x14ac:dyDescent="0.2">
      <c r="A253" s="42" t="s">
        <v>146</v>
      </c>
      <c r="B253" s="27"/>
      <c r="C253" s="27"/>
      <c r="D253" s="107"/>
      <c r="E253" s="107"/>
      <c r="F253" s="167"/>
      <c r="G253" s="167"/>
      <c r="H253" s="167"/>
    </row>
    <row r="254" spans="1:8" ht="25.5" x14ac:dyDescent="0.2">
      <c r="A254" s="44"/>
      <c r="B254" s="13"/>
      <c r="C254" s="195" t="s">
        <v>141</v>
      </c>
      <c r="D254" s="195" t="s">
        <v>2</v>
      </c>
      <c r="E254" s="84" t="s">
        <v>97</v>
      </c>
      <c r="F254" s="168" t="s">
        <v>117</v>
      </c>
      <c r="G254" s="168" t="s">
        <v>145</v>
      </c>
      <c r="H254" s="168" t="s">
        <v>149</v>
      </c>
    </row>
    <row r="255" spans="1:8" x14ac:dyDescent="0.2">
      <c r="A255" s="35"/>
      <c r="B255" s="32"/>
      <c r="C255" s="6"/>
      <c r="D255" s="6"/>
      <c r="E255" s="140"/>
      <c r="F255" s="239"/>
      <c r="G255" s="237"/>
      <c r="H255" s="171"/>
    </row>
    <row r="256" spans="1:8" x14ac:dyDescent="0.2">
      <c r="A256" s="35"/>
      <c r="B256" s="32" t="s">
        <v>142</v>
      </c>
      <c r="C256" s="140">
        <f>+'Forudsætninger - bedrift'!E170</f>
        <v>15</v>
      </c>
      <c r="D256" s="140">
        <f>+'Forudsætninger - bedrift'!F170</f>
        <v>1</v>
      </c>
      <c r="E256" s="140">
        <f>+'Forudsætninger - bedrift'!G170</f>
        <v>512526</v>
      </c>
      <c r="F256" s="238">
        <f>+E256*D256</f>
        <v>512526</v>
      </c>
      <c r="G256" s="238">
        <f>+F256/C256</f>
        <v>34168.400000000001</v>
      </c>
      <c r="H256" s="171">
        <f>+F256*'Forudsætninger - bedrift'!G$181</f>
        <v>23063.67</v>
      </c>
    </row>
    <row r="257" spans="1:8" x14ac:dyDescent="0.2">
      <c r="A257" s="35"/>
      <c r="B257" s="32" t="s">
        <v>143</v>
      </c>
      <c r="C257" s="140">
        <f>+'Forudsætninger - bedrift'!E171</f>
        <v>15</v>
      </c>
      <c r="D257" s="140">
        <f>+'Forudsætninger - bedrift'!F171</f>
        <v>1</v>
      </c>
      <c r="E257" s="140">
        <f>+'Forudsætninger - bedrift'!G171</f>
        <v>0</v>
      </c>
      <c r="F257" s="238">
        <f>+E257*D257</f>
        <v>0</v>
      </c>
      <c r="G257" s="238">
        <f>+F257/C257</f>
        <v>0</v>
      </c>
      <c r="H257" s="171">
        <f>+F257*'Forudsætninger - bedrift'!G$181</f>
        <v>0</v>
      </c>
    </row>
    <row r="258" spans="1:8" x14ac:dyDescent="0.2">
      <c r="A258" s="35"/>
      <c r="B258" s="32" t="s">
        <v>144</v>
      </c>
      <c r="C258" s="140">
        <f>+'Forudsætninger - bedrift'!E172</f>
        <v>10</v>
      </c>
      <c r="D258" s="140">
        <f>+'Forudsætninger - bedrift'!F172</f>
        <v>1</v>
      </c>
      <c r="E258" s="140">
        <f>+'Forudsætninger - bedrift'!G172</f>
        <v>0</v>
      </c>
      <c r="F258" s="238">
        <f>+E258*D258</f>
        <v>0</v>
      </c>
      <c r="G258" s="238">
        <f>+F258/C258</f>
        <v>0</v>
      </c>
      <c r="H258" s="171">
        <f>+F258*'Forudsætninger - bedrift'!G$181</f>
        <v>0</v>
      </c>
    </row>
    <row r="259" spans="1:8" x14ac:dyDescent="0.2">
      <c r="A259" s="35"/>
      <c r="B259" s="32" t="s">
        <v>244</v>
      </c>
      <c r="C259" s="140">
        <f>+'Forudsætninger - bedrift'!E173</f>
        <v>15</v>
      </c>
      <c r="D259" s="140">
        <f>+'Forudsætninger - bedrift'!F173</f>
        <v>1</v>
      </c>
      <c r="E259" s="140">
        <f>+'Forudsætninger - bedrift'!G173</f>
        <v>0</v>
      </c>
      <c r="F259" s="238">
        <f>+E259*D259</f>
        <v>0</v>
      </c>
      <c r="G259" s="238">
        <f>+F259/C259</f>
        <v>0</v>
      </c>
      <c r="H259" s="171">
        <f>+F259*'Forudsætninger - bedrift'!G$181</f>
        <v>0</v>
      </c>
    </row>
    <row r="260" spans="1:8" x14ac:dyDescent="0.2">
      <c r="A260" s="35"/>
      <c r="B260" s="32" t="s">
        <v>273</v>
      </c>
      <c r="C260" s="140">
        <f>+'Forudsætninger - bedrift'!E174</f>
        <v>15</v>
      </c>
      <c r="D260" s="140">
        <f>+'Forudsætninger - bedrift'!F174</f>
        <v>1</v>
      </c>
      <c r="E260" s="140">
        <f>+'Forudsætninger - bedrift'!G174</f>
        <v>-53869</v>
      </c>
      <c r="F260" s="238">
        <f>+E260*D260</f>
        <v>-53869</v>
      </c>
      <c r="G260" s="238">
        <f>+F260/C260</f>
        <v>-3591.2666666666669</v>
      </c>
      <c r="H260" s="171">
        <f>+F260*'Forudsætninger - bedrift'!G$181</f>
        <v>-2424.105</v>
      </c>
    </row>
    <row r="261" spans="1:8" x14ac:dyDescent="0.2">
      <c r="A261" s="35"/>
      <c r="B261" s="32"/>
      <c r="C261" s="6"/>
      <c r="D261" s="6"/>
      <c r="E261" s="140"/>
      <c r="F261" s="239"/>
      <c r="G261" s="237"/>
      <c r="H261" s="171"/>
    </row>
    <row r="262" spans="1:8" s="178" customFormat="1" x14ac:dyDescent="0.2">
      <c r="A262" s="38"/>
      <c r="B262" s="39" t="s">
        <v>148</v>
      </c>
      <c r="C262" s="39"/>
      <c r="D262" s="39"/>
      <c r="E262" s="144"/>
      <c r="F262" s="201">
        <f>SUM(F255:F261)</f>
        <v>458657</v>
      </c>
      <c r="G262" s="201">
        <f>SUM(G255:G261)</f>
        <v>30577.133333333335</v>
      </c>
      <c r="H262" s="201">
        <f>SUM(H255:H261)</f>
        <v>20639.564999999999</v>
      </c>
    </row>
    <row r="263" spans="1:8" x14ac:dyDescent="0.2">
      <c r="B263" s="71"/>
    </row>
    <row r="264" spans="1:8" x14ac:dyDescent="0.2">
      <c r="B264" s="71"/>
    </row>
    <row r="265" spans="1:8" x14ac:dyDescent="0.2">
      <c r="A265" s="42" t="s">
        <v>152</v>
      </c>
      <c r="B265" s="27"/>
      <c r="C265" s="27"/>
      <c r="D265" s="107"/>
      <c r="E265" s="107"/>
      <c r="F265" s="167"/>
      <c r="G265" s="167"/>
      <c r="H265" s="167"/>
    </row>
    <row r="266" spans="1:8" ht="25.5" x14ac:dyDescent="0.2">
      <c r="A266" s="44"/>
      <c r="B266" s="13"/>
      <c r="C266" s="195"/>
      <c r="D266" s="195" t="s">
        <v>8</v>
      </c>
      <c r="E266" s="84" t="s">
        <v>97</v>
      </c>
      <c r="F266" s="168" t="s">
        <v>117</v>
      </c>
      <c r="G266" s="168"/>
      <c r="H266" s="168" t="s">
        <v>149</v>
      </c>
    </row>
    <row r="267" spans="1:8" x14ac:dyDescent="0.2">
      <c r="A267" s="35"/>
      <c r="B267" s="32"/>
      <c r="C267" s="235"/>
      <c r="D267" s="235"/>
      <c r="E267" s="235"/>
      <c r="F267" s="238"/>
      <c r="G267" s="260"/>
      <c r="H267" s="171"/>
    </row>
    <row r="268" spans="1:8" x14ac:dyDescent="0.2">
      <c r="A268" s="35"/>
      <c r="B268" s="32" t="s">
        <v>153</v>
      </c>
      <c r="C268" s="235"/>
      <c r="D268" s="140">
        <f>'Forudsætninger - bedrift'!G74</f>
        <v>288</v>
      </c>
      <c r="E268" s="140">
        <f>+'Standard værdier'!G145</f>
        <v>525</v>
      </c>
      <c r="F268" s="238">
        <f>D268*E268</f>
        <v>151200</v>
      </c>
      <c r="G268" s="260"/>
      <c r="H268" s="171">
        <f>+F268*'Forudsætninger - bedrift'!G$181</f>
        <v>6804</v>
      </c>
    </row>
    <row r="269" spans="1:8" x14ac:dyDescent="0.2">
      <c r="A269" s="35"/>
      <c r="B269" s="32"/>
      <c r="C269" s="235"/>
      <c r="D269" s="235"/>
      <c r="E269" s="235"/>
      <c r="F269" s="238"/>
      <c r="G269" s="260"/>
      <c r="H269" s="171"/>
    </row>
    <row r="270" spans="1:8" s="178" customFormat="1" x14ac:dyDescent="0.2">
      <c r="A270" s="38"/>
      <c r="B270" s="39" t="s">
        <v>154</v>
      </c>
      <c r="C270" s="39"/>
      <c r="D270" s="39"/>
      <c r="E270" s="144"/>
      <c r="F270" s="201">
        <f>SUM(F267:F269)</f>
        <v>151200</v>
      </c>
      <c r="G270" s="261"/>
      <c r="H270" s="201">
        <f>SUM(H267:H269)</f>
        <v>6804</v>
      </c>
    </row>
    <row r="273" spans="1:9" x14ac:dyDescent="0.2">
      <c r="A273" s="42" t="s">
        <v>120</v>
      </c>
      <c r="B273" s="27"/>
      <c r="C273" s="27"/>
      <c r="D273" s="66"/>
      <c r="E273" s="107"/>
      <c r="F273" s="107"/>
      <c r="G273" s="67"/>
    </row>
    <row r="274" spans="1:9" ht="51" x14ac:dyDescent="0.2">
      <c r="A274" s="44"/>
      <c r="B274" s="13"/>
      <c r="C274" s="13"/>
      <c r="D274" s="82" t="s">
        <v>43</v>
      </c>
      <c r="E274" s="84" t="s">
        <v>42</v>
      </c>
      <c r="F274" s="84" t="s">
        <v>41</v>
      </c>
      <c r="G274" s="75" t="s">
        <v>40</v>
      </c>
    </row>
    <row r="275" spans="1:9" x14ac:dyDescent="0.2">
      <c r="A275" s="47"/>
      <c r="B275" s="45"/>
      <c r="C275" s="150"/>
      <c r="D275" s="187"/>
      <c r="E275" s="188"/>
      <c r="F275" s="188"/>
      <c r="G275" s="189"/>
    </row>
    <row r="276" spans="1:9" x14ac:dyDescent="0.2">
      <c r="A276" s="35"/>
      <c r="B276" s="32" t="s">
        <v>78</v>
      </c>
      <c r="C276" s="6"/>
      <c r="D276" s="169">
        <f>'Beregninger med'!D144+'Beregninger med'!D149</f>
        <v>44887.794499999996</v>
      </c>
      <c r="E276" s="316">
        <f>'Beregninger med'!E144+'Beregninger med'!E149</f>
        <v>37173.409265100665</v>
      </c>
      <c r="F276" s="140">
        <f>'Beregninger med'!F144+'Beregninger med'!F149</f>
        <v>4281.45</v>
      </c>
      <c r="G276" s="142">
        <f>'Beregninger med'!G144+'Beregninger med'!G149</f>
        <v>12592.5</v>
      </c>
      <c r="I276" s="4"/>
    </row>
    <row r="277" spans="1:9" x14ac:dyDescent="0.2">
      <c r="A277" s="35"/>
      <c r="B277" s="32" t="str">
        <f>CONCATENATE("Næringsstoffer kg/ha   = ",C140)</f>
        <v>Næringsstoffer kg/ha   = 251,85</v>
      </c>
      <c r="C277" s="6"/>
      <c r="D277" s="169">
        <f>('Beregninger med'!D144+'Beregninger med'!D149)/'Beregninger med'!C140</f>
        <v>178.23225928131822</v>
      </c>
      <c r="E277" s="316">
        <f>E276/'Beregninger med'!C140</f>
        <v>147.60138679809674</v>
      </c>
      <c r="F277" s="140">
        <f>F276/'Beregninger med'!C140</f>
        <v>17</v>
      </c>
      <c r="G277" s="142">
        <f>G276/'Beregninger med'!C140</f>
        <v>50</v>
      </c>
      <c r="I277" s="4"/>
    </row>
    <row r="278" spans="1:9" x14ac:dyDescent="0.2">
      <c r="A278" s="35"/>
      <c r="B278" s="32"/>
      <c r="C278" s="6"/>
      <c r="D278" s="169"/>
      <c r="E278" s="140"/>
      <c r="F278" s="140"/>
      <c r="G278" s="142"/>
      <c r="I278" s="4"/>
    </row>
    <row r="279" spans="1:9" x14ac:dyDescent="0.2">
      <c r="A279" s="35"/>
      <c r="B279" s="32" t="s">
        <v>79</v>
      </c>
      <c r="C279" s="6"/>
      <c r="D279" s="139">
        <f>+'Standard værdier'!G152*100</f>
        <v>95</v>
      </c>
      <c r="E279" s="140"/>
      <c r="F279" s="140"/>
      <c r="G279" s="142"/>
      <c r="I279" s="4"/>
    </row>
    <row r="280" spans="1:9" x14ac:dyDescent="0.2">
      <c r="A280" s="35"/>
      <c r="B280" s="32" t="s">
        <v>78</v>
      </c>
      <c r="C280" s="6"/>
      <c r="D280" s="169">
        <f>'Beregninger med'!D144/100*D279</f>
        <v>38998.972499999996</v>
      </c>
      <c r="E280" s="140">
        <f>E276</f>
        <v>37173.409265100665</v>
      </c>
      <c r="F280" s="140">
        <f>F276</f>
        <v>4281.45</v>
      </c>
      <c r="G280" s="142">
        <f>G276</f>
        <v>12592.5</v>
      </c>
      <c r="I280" s="4"/>
    </row>
    <row r="281" spans="1:9" x14ac:dyDescent="0.2">
      <c r="A281" s="46"/>
      <c r="B281" s="33" t="s">
        <v>24</v>
      </c>
      <c r="C281" s="9"/>
      <c r="D281" s="172">
        <f>D280/'Beregninger med'!C140</f>
        <v>154.85</v>
      </c>
      <c r="E281" s="153">
        <f>E280/'Beregninger med'!C140</f>
        <v>147.60138679809674</v>
      </c>
      <c r="F281" s="153">
        <f>F280/'Beregninger med'!C140</f>
        <v>17</v>
      </c>
      <c r="G281" s="155">
        <f>G280/'Beregninger med'!C140</f>
        <v>50</v>
      </c>
      <c r="I281" s="4"/>
    </row>
  </sheetData>
  <mergeCells count="5">
    <mergeCell ref="B142:C142"/>
    <mergeCell ref="D8:E8"/>
    <mergeCell ref="F8:G8"/>
    <mergeCell ref="D31:E31"/>
    <mergeCell ref="F31:G31"/>
  </mergeCells>
  <conditionalFormatting sqref="D72">
    <cfRule type="cellIs" dxfId="0" priority="1" operator="greaterThan">
      <formula>100</formula>
    </cfRule>
  </conditionalFormatting>
  <printOptions horizontalCentered="1"/>
  <pageMargins left="0.86614173228346458" right="0.31496062992125984" top="0.27559055118110237" bottom="0.47244094488188981" header="0" footer="0.27559055118110237"/>
  <pageSetup paperSize="9" scale="89" fitToHeight="0" orientation="portrait" r:id="rId1"/>
  <headerFooter alignWithMargins="0">
    <oddFooter>&amp;L&amp;8Udskrevet &amp;D;kl. &amp;T&amp;C&amp;10Side &amp;P af &amp;N&amp;R&amp;8&amp;F/&amp;A</oddFooter>
  </headerFooter>
  <rowBreaks count="5" manualBreakCount="5">
    <brk id="47" max="7" man="1"/>
    <brk id="96" max="7" man="1"/>
    <brk id="134" max="7" man="1"/>
    <brk id="182" max="7" man="1"/>
    <brk id="237" max="7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ide" ma:contentTypeID="0x010100C568DB52D9D0A14D9B2FDCC96666E9F2007948130EC3DB064584E219954237AF3900B2A71781AD100B4AA2259F52FD5A4005" ma:contentTypeVersion="0" ma:contentTypeDescription="Side er en skabelon for systemindholdstyper, der er oprettet af funktionen for ressourcer til udgivelse. Kolonneskabeloner fra Side føjes til alle sidebiblioteker, der oprettes af udgivelsesfunktionen." ma:contentTypeScope="" ma:versionID="2ed9bf20526eedc1ff73d508e23c513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7b0ec50b1e335f3209b14a466caec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Kommentarer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10" nillable="true" ma:displayName="Slutdato for planlægning" ma:description="" ma:hidden="true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PublishingRollupImage xmlns="http://schemas.microsoft.com/sharepoint/v3" xsi:nil="true"/>
    <PublishingContactEmail xmlns="http://schemas.microsoft.com/sharepoint/v3" xsi:nil="true"/>
    <PublishingVariationGroupID xmlns="http://schemas.microsoft.com/sharepoint/v3" xsi:nil="true"/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ContactName xmlns="http://schemas.microsoft.com/sharepoint/v3" xsi:nil="true"/>
    <Comments xmlns="http://schemas.microsoft.com/sharepoint/v3">Økonomisk model udviklet af Alland Lunde Maabjerg Bioenergi og videreudviklet af VFL</Comments>
    <Audienc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26EA49-6E79-4C27-8327-6673B18234DF}"/>
</file>

<file path=customXml/itemProps2.xml><?xml version="1.0" encoding="utf-8"?>
<ds:datastoreItem xmlns:ds="http://schemas.openxmlformats.org/officeDocument/2006/customXml" ds:itemID="{882EEF22-BFC4-4E9A-A0DB-EC88E216DD39}"/>
</file>

<file path=customXml/itemProps3.xml><?xml version="1.0" encoding="utf-8"?>
<ds:datastoreItem xmlns:ds="http://schemas.openxmlformats.org/officeDocument/2006/customXml" ds:itemID="{FC89B824-3E7F-43BF-A5BA-1837DEE72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10</vt:i4>
      </vt:variant>
    </vt:vector>
  </HeadingPairs>
  <TitlesOfParts>
    <vt:vector size="15" baseType="lpstr">
      <vt:lpstr>Økonomi</vt:lpstr>
      <vt:lpstr>Forudsætninger - bedrift</vt:lpstr>
      <vt:lpstr>Standard værdier</vt:lpstr>
      <vt:lpstr>Beregninger uden</vt:lpstr>
      <vt:lpstr>Beregninger med</vt:lpstr>
      <vt:lpstr>'Beregninger med'!Udskriftsområde</vt:lpstr>
      <vt:lpstr>'Beregninger uden'!Udskriftsområde</vt:lpstr>
      <vt:lpstr>'Forudsætninger - bedrift'!Udskriftsområde</vt:lpstr>
      <vt:lpstr>'Standard værdier'!Udskriftsområde</vt:lpstr>
      <vt:lpstr>Økonomi!Udskriftsområde</vt:lpstr>
      <vt:lpstr>'Beregninger med'!Udskriftstitler</vt:lpstr>
      <vt:lpstr>'Beregninger uden'!Udskriftstitler</vt:lpstr>
      <vt:lpstr>'Forudsætninger - bedrift'!Udskriftstitler</vt:lpstr>
      <vt:lpstr>'Standard værdier'!Udskriftstitler</vt:lpstr>
      <vt:lpstr>Økonomi!Udskriftstitler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Jørgen J. Andreasen</dc:creator>
  <cp:lastModifiedBy>Susanne Trampedach</cp:lastModifiedBy>
  <cp:lastPrinted>2013-01-29T12:53:02Z</cp:lastPrinted>
  <dcterms:created xsi:type="dcterms:W3CDTF">2005-09-01T11:47:33Z</dcterms:created>
  <dcterms:modified xsi:type="dcterms:W3CDTF">2013-12-03T10:40:04Z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ideInRollups">
    <vt:bool>false</vt:bool>
  </property>
  <property fmtid="{D5CDD505-2E9C-101B-9397-08002B2CF9AE}" pid="3" name="PublishingPageContent">
    <vt:lpwstr/>
  </property>
  <property fmtid="{D5CDD505-2E9C-101B-9397-08002B2CF9AE}" pid="4" name="Revisionsdato">
    <vt:filetime>2013-12-03T09:40:00Z</vt:filetime>
  </property>
  <property fmtid="{D5CDD505-2E9C-101B-9397-08002B2CF9AE}" pid="5" name="WebInfo_FinansieringsLink">
    <vt:lpwstr>59919f39-a1b6-4741-9377-51b0a4452e05</vt:lpwstr>
  </property>
  <property fmtid="{D5CDD505-2E9C-101B-9397-08002B2CF9AE}" pid="6" name="ContentTypeId">
    <vt:lpwstr>0x010100C568DB52D9D0A14D9B2FDCC96666E9F2007948130EC3DB064584E219954237AF3900B2A71781AD100B4AA2259F52FD5A4005</vt:lpwstr>
  </property>
  <property fmtid="{D5CDD505-2E9C-101B-9397-08002B2CF9AE}" pid="7" name="EnclosureFor">
    <vt:lpwstr/>
  </property>
  <property fmtid="{D5CDD505-2E9C-101B-9397-08002B2CF9AE}" pid="8" name="KnowledgeArticle">
    <vt:bool>false</vt:bool>
  </property>
</Properties>
</file>